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sd.lan\hsd\Agency Fiscal\PHD Div\Contracts\PENDING CONTRACTS\CDPH Grants\FOPH\"/>
    </mc:Choice>
  </mc:AlternateContent>
  <workbookProtection workbookAlgorithmName="SHA-512" workbookHashValue="z22BQR7YXQffUWZqvGdXGMADs/fH3phjELjoL0pZXGt6VpCKXzKOSRZX+MRuIaR+C9S92VTN7y1nkzElVTPsQg==" workbookSaltValue="yPY9mB00jYKAPcVnLPWL4w==" workbookSpinCount="100000" lockStructure="1"/>
  <bookViews>
    <workbookView xWindow="12120" yWindow="15" windowWidth="14205" windowHeight="13815" activeTab="2"/>
  </bookViews>
  <sheets>
    <sheet name="Allocations" sheetId="3" r:id="rId1"/>
    <sheet name="Inputs and Calculation" sheetId="1" r:id="rId2"/>
    <sheet name="Data" sheetId="2" r:id="rId3"/>
  </sheets>
  <definedNames>
    <definedName name="amtblack">'Inputs and Calculation'!#REF!</definedName>
    <definedName name="amtlatinx">'Inputs and Calculation'!#REF!</definedName>
    <definedName name="amtNHPI">'Inputs and Calculation'!#REF!</definedName>
    <definedName name="amtpop">'Inputs and Calculation'!$C$6</definedName>
    <definedName name="amtpov">'Inputs and Calculation'!$C$7</definedName>
    <definedName name="amtrace">'Inputs and Calculation'!#REF!</definedName>
    <definedName name="amttotalrace">'Inputs and Calculation'!#REF!</definedName>
    <definedName name="lhjbase">'Inputs and Calculation'!$B$4</definedName>
    <definedName name="percblack">'Inputs and Calculation'!#REF!</definedName>
    <definedName name="perclatinx">'Inputs and Calculation'!#REF!</definedName>
    <definedName name="percNHPI">'Inputs and Calculation'!#REF!</definedName>
    <definedName name="percpop">'Inputs and Calculation'!$B$6</definedName>
    <definedName name="percpov">'Inputs and Calculation'!$B$7</definedName>
    <definedName name="percrace">'Inputs and Calculation'!#REF!</definedName>
    <definedName name="perctotalrace">'Inputs and Calculation'!#REF!</definedName>
    <definedName name="perlatinx">'Inputs and Calculation'!#REF!</definedName>
    <definedName name="perNHPI">'Inputs and Calculation'!#REF!</definedName>
    <definedName name="perpop">'Inputs and Calculation'!$B$6</definedName>
    <definedName name="_xlnm.Print_Area" localSheetId="0">Allocations!$A$1:$D$72</definedName>
    <definedName name="_xlnm.Print_Titles" localSheetId="0">Allocations!$1:$3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B68" i="3" a="1"/>
  <c r="B68" i="3" s="1"/>
  <c r="B69" i="3"/>
  <c r="B67" i="3"/>
  <c r="C4" i="1" l="1"/>
  <c r="J37" i="2"/>
  <c r="E37" i="2"/>
  <c r="E24" i="2"/>
  <c r="E25" i="2"/>
  <c r="C43" i="1"/>
  <c r="C30" i="1"/>
  <c r="C31" i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5" i="2"/>
  <c r="J66" i="2" l="1"/>
  <c r="K59" i="2" s="1"/>
  <c r="K28" i="2" l="1"/>
  <c r="K56" i="2"/>
  <c r="K10" i="2"/>
  <c r="K54" i="2"/>
  <c r="K58" i="2"/>
  <c r="K13" i="2"/>
  <c r="K30" i="2"/>
  <c r="K63" i="2"/>
  <c r="K24" i="2"/>
  <c r="K25" i="2"/>
  <c r="K37" i="2"/>
  <c r="K64" i="2"/>
  <c r="K38" i="2"/>
  <c r="K27" i="2"/>
  <c r="K44" i="2"/>
  <c r="K22" i="2"/>
  <c r="K15" i="2"/>
  <c r="K23" i="2"/>
  <c r="K41" i="2"/>
  <c r="K43" i="2"/>
  <c r="K32" i="2"/>
  <c r="K18" i="2"/>
  <c r="K33" i="2"/>
  <c r="K17" i="2"/>
  <c r="K8" i="2"/>
  <c r="K53" i="2"/>
  <c r="K20" i="2"/>
  <c r="K48" i="2"/>
  <c r="K57" i="2"/>
  <c r="K62" i="2"/>
  <c r="K5" i="2"/>
  <c r="K19" i="2"/>
  <c r="K61" i="2"/>
  <c r="K51" i="2"/>
  <c r="K31" i="2"/>
  <c r="K12" i="2"/>
  <c r="K40" i="2"/>
  <c r="K60" i="2"/>
  <c r="K65" i="2"/>
  <c r="K34" i="2"/>
  <c r="K29" i="2"/>
  <c r="K50" i="2"/>
  <c r="K9" i="2"/>
  <c r="K49" i="2"/>
  <c r="K35" i="2"/>
  <c r="K55" i="2"/>
  <c r="K16" i="2"/>
  <c r="K36" i="2"/>
  <c r="K52" i="2"/>
  <c r="K45" i="2"/>
  <c r="K6" i="2"/>
  <c r="K26" i="2"/>
  <c r="K46" i="2"/>
  <c r="K11" i="2"/>
  <c r="K42" i="2"/>
  <c r="K7" i="2"/>
  <c r="K21" i="2"/>
  <c r="K14" i="2"/>
  <c r="K39" i="2"/>
  <c r="K47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6" i="2"/>
  <c r="E27" i="2"/>
  <c r="E28" i="2"/>
  <c r="E29" i="2"/>
  <c r="E30" i="2"/>
  <c r="E31" i="2"/>
  <c r="E32" i="2"/>
  <c r="E33" i="2"/>
  <c r="E34" i="2"/>
  <c r="E35" i="2"/>
  <c r="E36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B66" i="2"/>
  <c r="C37" i="2" l="1"/>
  <c r="C25" i="2"/>
  <c r="C8" i="2"/>
  <c r="C24" i="2"/>
  <c r="K66" i="2"/>
  <c r="E66" i="2"/>
  <c r="C63" i="2"/>
  <c r="C59" i="2"/>
  <c r="C55" i="2"/>
  <c r="C51" i="2"/>
  <c r="C47" i="2"/>
  <c r="C43" i="2"/>
  <c r="C39" i="2"/>
  <c r="C35" i="2"/>
  <c r="C31" i="2"/>
  <c r="C27" i="2"/>
  <c r="C23" i="2"/>
  <c r="C19" i="2"/>
  <c r="C15" i="2"/>
  <c r="C11" i="2"/>
  <c r="C7" i="2"/>
  <c r="C5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C65" i="2"/>
  <c r="C61" i="2"/>
  <c r="C57" i="2"/>
  <c r="C53" i="2"/>
  <c r="C49" i="2"/>
  <c r="C45" i="2"/>
  <c r="C41" i="2"/>
  <c r="C33" i="2"/>
  <c r="C29" i="2"/>
  <c r="C21" i="2"/>
  <c r="C17" i="2"/>
  <c r="C13" i="2"/>
  <c r="C9" i="2"/>
  <c r="C64" i="2"/>
  <c r="C60" i="2"/>
  <c r="C56" i="2"/>
  <c r="C52" i="2"/>
  <c r="C48" i="2"/>
  <c r="C44" i="2"/>
  <c r="C40" i="2"/>
  <c r="C36" i="2"/>
  <c r="C32" i="2"/>
  <c r="C28" i="2"/>
  <c r="C20" i="2"/>
  <c r="C16" i="2"/>
  <c r="C12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2" i="1"/>
  <c r="C33" i="1"/>
  <c r="C34" i="1"/>
  <c r="C35" i="1"/>
  <c r="C36" i="1"/>
  <c r="C37" i="1"/>
  <c r="C38" i="1"/>
  <c r="C39" i="1"/>
  <c r="C40" i="1"/>
  <c r="C41" i="1"/>
  <c r="C42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11" i="1"/>
  <c r="F9" i="2" l="1"/>
  <c r="F25" i="2"/>
  <c r="F24" i="2"/>
  <c r="F37" i="2"/>
  <c r="F62" i="2"/>
  <c r="F46" i="2"/>
  <c r="F38" i="2"/>
  <c r="F13" i="2"/>
  <c r="F52" i="2"/>
  <c r="F43" i="2"/>
  <c r="F53" i="2"/>
  <c r="F29" i="2"/>
  <c r="F18" i="2"/>
  <c r="F36" i="2"/>
  <c r="F49" i="2"/>
  <c r="F64" i="2"/>
  <c r="F66" i="2"/>
  <c r="F33" i="2"/>
  <c r="F20" i="2"/>
  <c r="F22" i="2"/>
  <c r="F11" i="2"/>
  <c r="F16" i="2"/>
  <c r="F15" i="2"/>
  <c r="F47" i="2"/>
  <c r="F17" i="2"/>
  <c r="F61" i="2"/>
  <c r="F28" i="2"/>
  <c r="F6" i="2"/>
  <c r="F30" i="2"/>
  <c r="F50" i="2"/>
  <c r="F40" i="2"/>
  <c r="F23" i="2"/>
  <c r="F51" i="2"/>
  <c r="F21" i="2"/>
  <c r="F45" i="2"/>
  <c r="F65" i="2"/>
  <c r="F32" i="2"/>
  <c r="F14" i="2"/>
  <c r="F34" i="2"/>
  <c r="F54" i="2"/>
  <c r="F7" i="2"/>
  <c r="F27" i="2"/>
  <c r="F5" i="2"/>
  <c r="F31" i="2"/>
  <c r="F63" i="2"/>
  <c r="F41" i="2"/>
  <c r="F57" i="2"/>
  <c r="F12" i="2"/>
  <c r="F44" i="2"/>
  <c r="F10" i="2"/>
  <c r="F26" i="2"/>
  <c r="F42" i="2"/>
  <c r="F58" i="2"/>
  <c r="F56" i="2"/>
  <c r="F19" i="2"/>
  <c r="F35" i="2"/>
  <c r="F59" i="2"/>
  <c r="F48" i="2"/>
  <c r="C73" i="1"/>
  <c r="B5" i="1" s="1"/>
  <c r="F39" i="2"/>
  <c r="F55" i="2"/>
  <c r="F8" i="2"/>
  <c r="F60" i="2"/>
  <c r="C8" i="1" l="1"/>
  <c r="C6" i="1"/>
  <c r="D11" i="1" s="1"/>
  <c r="C7" i="1"/>
  <c r="F13" i="1" l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19" i="1"/>
  <c r="F27" i="1"/>
  <c r="F35" i="1"/>
  <c r="F39" i="1"/>
  <c r="F47" i="1"/>
  <c r="F55" i="1"/>
  <c r="F63" i="1"/>
  <c r="F71" i="1"/>
  <c r="F20" i="1"/>
  <c r="F24" i="1"/>
  <c r="F36" i="1"/>
  <c r="F44" i="1"/>
  <c r="F52" i="1"/>
  <c r="F60" i="1"/>
  <c r="F11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15" i="1"/>
  <c r="F23" i="1"/>
  <c r="F31" i="1"/>
  <c r="F43" i="1"/>
  <c r="F51" i="1"/>
  <c r="F59" i="1"/>
  <c r="F67" i="1"/>
  <c r="F12" i="1"/>
  <c r="F16" i="1"/>
  <c r="F28" i="1"/>
  <c r="F32" i="1"/>
  <c r="F40" i="1"/>
  <c r="F48" i="1"/>
  <c r="F56" i="1"/>
  <c r="F64" i="1"/>
  <c r="F68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15" i="1"/>
  <c r="D23" i="1"/>
  <c r="D31" i="1"/>
  <c r="D39" i="1"/>
  <c r="D47" i="1"/>
  <c r="D55" i="1"/>
  <c r="D63" i="1"/>
  <c r="D71" i="1"/>
  <c r="D30" i="1"/>
  <c r="D46" i="1"/>
  <c r="D54" i="1"/>
  <c r="D18" i="1"/>
  <c r="D26" i="1"/>
  <c r="D34" i="1"/>
  <c r="D42" i="1"/>
  <c r="D50" i="1"/>
  <c r="D58" i="1"/>
  <c r="D66" i="1"/>
  <c r="D14" i="1"/>
  <c r="D22" i="1"/>
  <c r="D38" i="1"/>
  <c r="D62" i="1"/>
  <c r="D70" i="1"/>
  <c r="D19" i="1"/>
  <c r="D27" i="1"/>
  <c r="D35" i="1"/>
  <c r="D43" i="1"/>
  <c r="D51" i="1"/>
  <c r="D59" i="1"/>
  <c r="D67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12" i="1"/>
  <c r="E20" i="1"/>
  <c r="E28" i="1"/>
  <c r="E36" i="1"/>
  <c r="E44" i="1"/>
  <c r="E52" i="1"/>
  <c r="E60" i="1"/>
  <c r="E68" i="1"/>
  <c r="E19" i="1"/>
  <c r="E59" i="1"/>
  <c r="E15" i="1"/>
  <c r="E23" i="1"/>
  <c r="E31" i="1"/>
  <c r="E39" i="1"/>
  <c r="E47" i="1"/>
  <c r="E55" i="1"/>
  <c r="E63" i="1"/>
  <c r="E71" i="1"/>
  <c r="E35" i="1"/>
  <c r="E43" i="1"/>
  <c r="E51" i="1"/>
  <c r="E16" i="1"/>
  <c r="E24" i="1"/>
  <c r="E32" i="1"/>
  <c r="E40" i="1"/>
  <c r="E48" i="1"/>
  <c r="E56" i="1"/>
  <c r="E64" i="1"/>
  <c r="E11" i="1"/>
  <c r="E27" i="1"/>
  <c r="E67" i="1"/>
  <c r="B70" i="1" l="1"/>
  <c r="B42" i="1"/>
  <c r="B43" i="1"/>
  <c r="B11" i="1"/>
  <c r="B71" i="1"/>
  <c r="B39" i="1"/>
  <c r="B68" i="1"/>
  <c r="B52" i="1"/>
  <c r="B36" i="1"/>
  <c r="B20" i="1"/>
  <c r="B14" i="1"/>
  <c r="B33" i="1"/>
  <c r="B51" i="1"/>
  <c r="B19" i="1"/>
  <c r="B22" i="1"/>
  <c r="B50" i="1"/>
  <c r="B18" i="1"/>
  <c r="B30" i="1"/>
  <c r="B47" i="1"/>
  <c r="B15" i="1"/>
  <c r="B56" i="1"/>
  <c r="B40" i="1"/>
  <c r="B24" i="1"/>
  <c r="B69" i="1"/>
  <c r="B53" i="1"/>
  <c r="B37" i="1"/>
  <c r="B21" i="1"/>
  <c r="B49" i="1"/>
  <c r="B67" i="1"/>
  <c r="B35" i="1"/>
  <c r="B62" i="1"/>
  <c r="B66" i="1"/>
  <c r="B34" i="1"/>
  <c r="B54" i="1"/>
  <c r="B63" i="1"/>
  <c r="B31" i="1"/>
  <c r="B64" i="1"/>
  <c r="B48" i="1"/>
  <c r="B32" i="1"/>
  <c r="B16" i="1"/>
  <c r="B61" i="1"/>
  <c r="B45" i="1"/>
  <c r="B29" i="1"/>
  <c r="B13" i="1"/>
  <c r="B65" i="1"/>
  <c r="B17" i="1"/>
  <c r="B59" i="1"/>
  <c r="B27" i="1"/>
  <c r="B38" i="1"/>
  <c r="B58" i="1"/>
  <c r="B26" i="1"/>
  <c r="B46" i="1"/>
  <c r="B55" i="1"/>
  <c r="B23" i="1"/>
  <c r="B60" i="1"/>
  <c r="B44" i="1"/>
  <c r="B28" i="1"/>
  <c r="B12" i="1"/>
  <c r="B57" i="1"/>
  <c r="B41" i="1"/>
  <c r="B25" i="1"/>
  <c r="E73" i="1"/>
  <c r="D73" i="1"/>
  <c r="F73" i="1" l="1"/>
  <c r="B74" i="1" l="1" a="1"/>
  <c r="B74" i="1" s="1"/>
  <c r="B73" i="1"/>
  <c r="B75" i="1"/>
  <c r="C66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<sst xmlns="http://schemas.openxmlformats.org/spreadsheetml/2006/main" count="241" uniqueCount="112">
  <si>
    <t>Local Health Jursidiction (LHJ) funding distribution for the FoPH</t>
  </si>
  <si>
    <t>Population, Poverty and Race/Ethnicity</t>
  </si>
  <si>
    <r>
      <rPr>
        <b/>
        <sz val="10"/>
        <color theme="1"/>
        <rFont val="Calibri"/>
        <family val="2"/>
        <scheme val="minor"/>
      </rPr>
      <t>Description of funding formula:</t>
    </r>
    <r>
      <rPr>
        <sz val="10"/>
        <color theme="1"/>
        <rFont val="Calibri"/>
        <family val="2"/>
        <scheme val="minor"/>
      </rPr>
      <t xml:space="preserve"> Each California LHJ, including Los Angeles, Long Beach, and Pasadena, is awarded a base amount of $350,000.  The balance of funds are distributed based on the proportion each LHJ contributes to the 2020 population (50% of allocation), the proportion each LHJ contributes to the 2019 population in poverty (25% of allocation), and the proportion each LHJ contributes to the population that is</t>
    </r>
    <r>
      <rPr>
        <sz val="10"/>
        <color rgb="FFFF0000"/>
        <rFont val="Calibri"/>
        <family val="2"/>
        <scheme val="minor"/>
      </rPr>
      <t xml:space="preserve"> Black/African American, Latinx, or Native Hawaiian/Pacific Islander </t>
    </r>
    <r>
      <rPr>
        <sz val="10"/>
        <color theme="1"/>
        <rFont val="Calibri"/>
        <family val="2"/>
        <scheme val="minor"/>
      </rPr>
      <t xml:space="preserve">(25% of allocation). Population and race/ethnicity data are from the Department of Finance; and population in poverty are calculated using 2019 Census Estimates.  </t>
    </r>
  </si>
  <si>
    <t>LHJ</t>
  </si>
  <si>
    <t>$350,000 Base</t>
  </si>
  <si>
    <r>
      <t>Alameda HD</t>
    </r>
    <r>
      <rPr>
        <vertAlign val="superscript"/>
        <sz val="11"/>
        <color theme="1"/>
        <rFont val="Calibri"/>
        <family val="2"/>
        <scheme val="minor"/>
      </rPr>
      <t>1</t>
    </r>
  </si>
  <si>
    <t>Alpine</t>
  </si>
  <si>
    <t>Amador</t>
  </si>
  <si>
    <t>Berkeley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</si>
  <si>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</si>
  <si>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</si>
  <si>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</si>
  <si>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</si>
  <si>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</si>
  <si>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</si>
  <si>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</si>
  <si>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</si>
  <si>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</si>
  <si>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</si>
  <si>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</si>
  <si>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</si>
  <si>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</si>
  <si>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</si>
  <si>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</si>
  <si>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r>
      <t>Long Beach</t>
    </r>
    <r>
      <rPr>
        <vertAlign val="superscript"/>
        <sz val="11"/>
        <color theme="1"/>
        <rFont val="Calibri"/>
        <family val="2"/>
        <scheme val="minor"/>
      </rPr>
      <t>2</t>
    </r>
  </si>
  <si>
    <r>
      <t>Los Angeles HD</t>
    </r>
    <r>
      <rPr>
        <vertAlign val="superscript"/>
        <sz val="11"/>
        <color theme="1"/>
        <rFont val="Calibri"/>
        <family val="2"/>
        <scheme val="minor"/>
      </rPr>
      <t>2</t>
    </r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</si>
  <si>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</si>
  <si>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</si>
  <si>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</si>
  <si>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</si>
  <si>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</si>
  <si>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</si>
  <si>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</si>
  <si>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</si>
  <si>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</si>
  <si>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</si>
  <si>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</si>
  <si>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r>
      <t>Pasadena</t>
    </r>
    <r>
      <rPr>
        <vertAlign val="superscript"/>
        <sz val="11"/>
        <color theme="1"/>
        <rFont val="Calibri"/>
        <family val="2"/>
        <scheme val="minor"/>
      </rPr>
      <t>2</t>
    </r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</si>
  <si>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</si>
  <si>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</si>
  <si>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</si>
  <si>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</si>
  <si>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</si>
  <si>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</si>
  <si>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</si>
  <si>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</si>
  <si>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</si>
  <si>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</si>
  <si>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</si>
  <si>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</si>
  <si>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</si>
  <si>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</si>
  <si>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</si>
  <si>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</si>
  <si>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</si>
  <si>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</si>
  <si>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</si>
  <si>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</si>
  <si>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</si>
  <si>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</si>
  <si>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</si>
  <si>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</si>
  <si>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</si>
  <si>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</si>
  <si>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</si>
  <si>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</si>
  <si>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</si>
  <si>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 xml:space="preserve">Miniumum Award: </t>
  </si>
  <si>
    <t>Maximum Award:</t>
  </si>
  <si>
    <t>1 - Alameda Health Department (HD) excludes City of Berkeley</t>
  </si>
  <si>
    <t>2 - Los Angeles HD excludes Cities of Long Beach and Pasadena</t>
  </si>
  <si>
    <r>
      <t xml:space="preserve">Editable Inputs for the Formula </t>
    </r>
    <r>
      <rPr>
        <b/>
        <sz val="14"/>
        <color rgb="FFFF0000"/>
        <rFont val="Calibri"/>
        <family val="2"/>
        <scheme val="minor"/>
      </rPr>
      <t>(in red)</t>
    </r>
    <r>
      <rPr>
        <b/>
        <sz val="14"/>
        <color theme="1"/>
        <rFont val="Calibri"/>
        <family val="2"/>
        <scheme val="minor"/>
      </rPr>
      <t xml:space="preserve"> and Allocations to LHJs by Input</t>
    </r>
  </si>
  <si>
    <t>Inputs (edit red text only)</t>
  </si>
  <si>
    <t>Dollars</t>
  </si>
  <si>
    <t>Total Award:</t>
  </si>
  <si>
    <t xml:space="preserve">Based amount per LHJ: </t>
  </si>
  <si>
    <t xml:space="preserve">Amount after base allocation: </t>
  </si>
  <si>
    <t>Percent toward population:</t>
  </si>
  <si>
    <t>Percent toward population in  poverty:</t>
  </si>
  <si>
    <t>Percent toward race/ethnicity:</t>
  </si>
  <si>
    <t>Total LHJ Allocation</t>
  </si>
  <si>
    <t>Base Allocation</t>
  </si>
  <si>
    <t>Population Allocation</t>
  </si>
  <si>
    <t>Poverty Allocation</t>
  </si>
  <si>
    <t>Total Race Population Allocation</t>
  </si>
  <si>
    <r>
      <t xml:space="preserve">Alameda HD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</si>
  <si>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Long Beach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</si>
  <si>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Los Angeles HD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</si>
  <si>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Pasadena </t>
    </r>
    <r>
      <rPr>
        <vertAlign val="superscript"/>
        <sz val="11"/>
        <color theme="1"/>
        <rFont val="Calibri"/>
        <family val="2"/>
        <scheme val="minor"/>
      </rPr>
      <t>2</t>
    </r>
  </si>
  <si>
    <t>1 - Alameda HD excludes City of Berkeley</t>
  </si>
  <si>
    <t>Calculations of data to be inputted into the formula</t>
  </si>
  <si>
    <t xml:space="preserve">LHJ </t>
  </si>
  <si>
    <t>Total
Population -
CA DOF 2020
(N)</t>
  </si>
  <si>
    <t>Percent of Population (%)</t>
  </si>
  <si>
    <t>Residents
estimated
to live in
poverty -
SAIPE 2019
(%)</t>
  </si>
  <si>
    <t>People estimated living in poverty (Poverty * DOF population)</t>
  </si>
  <si>
    <t>Percent of Population in Poverty (%)</t>
  </si>
  <si>
    <t>Black/African American (#)</t>
  </si>
  <si>
    <t>Latinx Population (#)</t>
  </si>
  <si>
    <t>Native Hawaiin/Pacific Islander (#)</t>
  </si>
  <si>
    <t>TOTAL Priority Race/Ethnicity Population (#)</t>
  </si>
  <si>
    <t>TOTAL Priority Race/Ethnicity Population (%)</t>
  </si>
  <si>
    <t>Data source</t>
  </si>
  <si>
    <t>Department of Finance</t>
  </si>
  <si>
    <t>LHJ/Total Population</t>
  </si>
  <si>
    <t>2018 Census data</t>
  </si>
  <si>
    <t>Population x Poverty rate</t>
  </si>
  <si>
    <t>LHJ/total population in poverty</t>
  </si>
  <si>
    <t>LHJ/Total Among Prioirty Race/Ethnicity groups</t>
  </si>
  <si>
    <t>-</t>
  </si>
  <si>
    <t xml:space="preserve">1 - Alameda HD excludes City of Berkeley.  </t>
  </si>
  <si>
    <t>* SAIPE = Small Area Income and Poverty Estimates Program (US Census Bureau)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</si>
</sst>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0.0%"/>
    <numFmt numFmtId="167" formatCode="#0.0%;\(#0.0%\)"/>
    <numFmt numFmtId="168" formatCode="#########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9.5"/>
      <color rgb="FF000000"/>
      <name val="Arial"/>
    </font>
    <font>
      <b/>
      <sz val="9.5"/>
      <name val="Arial"/>
      <family val="2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theme="4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/>
  </cellStyleXfs>
  <cellXfs count="9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0" borderId="1" xfId="0" applyBorder="1"/>
    <xf numFmtId="164" fontId="0" fillId="0" borderId="0" xfId="1" applyNumberFormat="1" applyFont="1"/>
    <xf numFmtId="164" fontId="2" fillId="2" borderId="1" xfId="1" applyNumberFormat="1" applyFont="1" applyFill="1" applyBorder="1"/>
    <xf numFmtId="164" fontId="0" fillId="0" borderId="1" xfId="1" applyNumberFormat="1" applyFont="1" applyBorder="1"/>
    <xf numFmtId="10" fontId="0" fillId="0" borderId="1" xfId="2" applyNumberFormat="1" applyFont="1" applyBorder="1"/>
    <xf numFmtId="164" fontId="0" fillId="0" borderId="1" xfId="0" applyNumberFormat="1" applyBorder="1"/>
    <xf numFmtId="164" fontId="0" fillId="6" borderId="2" xfId="1" applyNumberFormat="1" applyFont="1" applyFill="1" applyBorder="1" applyAlignment="1">
      <alignment horizontal="left"/>
    </xf>
    <xf numFmtId="0" fontId="5" fillId="0" borderId="0" xfId="0" applyFont="1"/>
    <xf numFmtId="164" fontId="0" fillId="0" borderId="1" xfId="1" applyNumberFormat="1" applyFont="1" applyBorder="1" applyAlignment="1">
      <alignment horizontal="right"/>
    </xf>
    <xf numFmtId="164" fontId="7" fillId="2" borderId="1" xfId="1" applyNumberFormat="1" applyFont="1" applyFill="1" applyBorder="1"/>
    <xf numFmtId="166" fontId="2" fillId="2" borderId="1" xfId="2" applyNumberFormat="1" applyFont="1" applyFill="1" applyBorder="1"/>
    <xf numFmtId="10" fontId="2" fillId="2" borderId="1" xfId="2" applyNumberFormat="1" applyFont="1" applyFill="1" applyBorder="1"/>
    <xf numFmtId="165" fontId="2" fillId="2" borderId="1" xfId="1" applyNumberFormat="1" applyFont="1" applyFill="1" applyBorder="1" applyAlignment="1">
      <alignment horizontal="right"/>
    </xf>
    <xf numFmtId="43" fontId="0" fillId="0" borderId="5" xfId="0" applyNumberFormat="1" applyBorder="1"/>
    <xf numFmtId="0" fontId="2" fillId="4" borderId="7" xfId="0" applyFont="1" applyFill="1" applyBorder="1" applyAlignment="1"/>
    <xf numFmtId="0" fontId="2" fillId="4" borderId="8" xfId="0" applyFont="1" applyFill="1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0" fontId="2" fillId="4" borderId="6" xfId="0" applyFont="1" applyFill="1" applyBorder="1" applyAlignment="1"/>
    <xf numFmtId="164" fontId="0" fillId="0" borderId="0" xfId="1" applyNumberFormat="1" applyFont="1" applyFill="1"/>
    <xf numFmtId="0" fontId="0" fillId="0" borderId="0" xfId="0" applyFill="1"/>
    <xf numFmtId="0" fontId="2" fillId="0" borderId="1" xfId="0" applyFont="1" applyBorder="1"/>
    <xf numFmtId="9" fontId="2" fillId="2" borderId="1" xfId="2" applyFont="1" applyFill="1" applyBorder="1"/>
    <xf numFmtId="0" fontId="0" fillId="0" borderId="0" xfId="0" applyFont="1" applyFill="1" applyBorder="1" applyAlignment="1">
      <alignment wrapText="1"/>
    </xf>
    <xf numFmtId="9" fontId="6" fillId="0" borderId="0" xfId="2" applyFont="1" applyFill="1" applyBorder="1"/>
    <xf numFmtId="164" fontId="0" fillId="0" borderId="0" xfId="0" applyNumberFormat="1" applyFill="1" applyBorder="1"/>
    <xf numFmtId="0" fontId="0" fillId="0" borderId="2" xfId="0" applyBorder="1"/>
    <xf numFmtId="164" fontId="0" fillId="0" borderId="1" xfId="0" applyNumberFormat="1" applyFill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8" borderId="1" xfId="0" applyFont="1" applyFill="1" applyBorder="1"/>
    <xf numFmtId="0" fontId="0" fillId="0" borderId="0" xfId="0" applyBorder="1"/>
    <xf numFmtId="0" fontId="0" fillId="0" borderId="0" xfId="0" applyBorder="1" applyAlignment="1">
      <alignment vertical="top"/>
    </xf>
    <xf numFmtId="0" fontId="0" fillId="11" borderId="0" xfId="0" applyFill="1" applyBorder="1" applyAlignment="1">
      <alignment horizontal="left"/>
    </xf>
    <xf numFmtId="0" fontId="0" fillId="0" borderId="0" xfId="0" applyAlignment="1">
      <alignment vertical="top"/>
    </xf>
    <xf numFmtId="164" fontId="0" fillId="0" borderId="0" xfId="0" applyNumberFormat="1"/>
    <xf numFmtId="0" fontId="7" fillId="8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37" fontId="2" fillId="2" borderId="1" xfId="1" applyNumberFormat="1" applyFont="1" applyFill="1" applyBorder="1" applyAlignment="1">
      <alignment horizontal="right"/>
    </xf>
    <xf numFmtId="37" fontId="0" fillId="0" borderId="1" xfId="1" applyNumberFormat="1" applyFont="1" applyBorder="1" applyAlignment="1">
      <alignment horizontal="right"/>
    </xf>
    <xf numFmtId="37" fontId="0" fillId="0" borderId="1" xfId="0" applyNumberFormat="1" applyBorder="1" applyAlignment="1">
      <alignment horizontal="right"/>
    </xf>
    <xf numFmtId="37" fontId="0" fillId="0" borderId="1" xfId="1" applyNumberFormat="1" applyFont="1" applyFill="1" applyBorder="1" applyAlignment="1">
      <alignment horizontal="right"/>
    </xf>
    <xf numFmtId="37" fontId="2" fillId="2" borderId="2" xfId="1" applyNumberFormat="1" applyFont="1" applyFill="1" applyBorder="1" applyAlignment="1">
      <alignment horizontal="right"/>
    </xf>
    <xf numFmtId="37" fontId="0" fillId="0" borderId="2" xfId="1" applyNumberFormat="1" applyFont="1" applyBorder="1" applyAlignment="1">
      <alignment horizontal="right"/>
    </xf>
    <xf numFmtId="37" fontId="0" fillId="0" borderId="2" xfId="0" applyNumberFormat="1" applyBorder="1" applyAlignment="1">
      <alignment horizontal="right"/>
    </xf>
    <xf numFmtId="37" fontId="0" fillId="6" borderId="2" xfId="1" applyNumberFormat="1" applyFont="1" applyFill="1" applyBorder="1" applyAlignment="1">
      <alignment horizontal="right"/>
    </xf>
    <xf numFmtId="37" fontId="2" fillId="3" borderId="1" xfId="0" applyNumberFormat="1" applyFont="1" applyFill="1" applyBorder="1" applyAlignment="1">
      <alignment horizontal="right"/>
    </xf>
    <xf numFmtId="37" fontId="0" fillId="0" borderId="0" xfId="1" applyNumberFormat="1" applyFont="1" applyFill="1" applyBorder="1" applyAlignment="1">
      <alignment horizontal="right"/>
    </xf>
    <xf numFmtId="37" fontId="0" fillId="0" borderId="0" xfId="1" applyNumberFormat="1" applyFont="1" applyFill="1" applyAlignment="1">
      <alignment horizontal="right"/>
    </xf>
    <xf numFmtId="37" fontId="2" fillId="6" borderId="2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vertical="center" wrapText="1"/>
    </xf>
    <xf numFmtId="164" fontId="6" fillId="0" borderId="3" xfId="1" applyNumberFormat="1" applyFont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11" xfId="0" applyFont="1" applyFill="1" applyBorder="1" applyAlignment="1">
      <alignment vertical="center" wrapText="1"/>
    </xf>
    <xf numFmtId="164" fontId="6" fillId="0" borderId="4" xfId="1" applyNumberFormat="1" applyFont="1" applyBorder="1" applyAlignment="1">
      <alignment vertical="center"/>
    </xf>
    <xf numFmtId="164" fontId="0" fillId="5" borderId="12" xfId="1" applyNumberFormat="1" applyFont="1" applyFill="1" applyBorder="1" applyAlignment="1">
      <alignment vertical="center"/>
    </xf>
    <xf numFmtId="0" fontId="0" fillId="5" borderId="13" xfId="0" applyFont="1" applyFill="1" applyBorder="1" applyAlignment="1">
      <alignment vertical="center" wrapText="1"/>
    </xf>
    <xf numFmtId="164" fontId="0" fillId="5" borderId="4" xfId="0" applyNumberFormat="1" applyFill="1" applyBorder="1" applyAlignment="1">
      <alignment vertical="center"/>
    </xf>
    <xf numFmtId="9" fontId="6" fillId="0" borderId="4" xfId="2" applyFont="1" applyBorder="1" applyAlignment="1">
      <alignment vertical="center"/>
    </xf>
    <xf numFmtId="164" fontId="0" fillId="5" borderId="12" xfId="0" applyNumberFormat="1" applyFill="1" applyBorder="1" applyAlignment="1">
      <alignment vertical="center"/>
    </xf>
    <xf numFmtId="0" fontId="0" fillId="5" borderId="14" xfId="0" applyFont="1" applyFill="1" applyBorder="1" applyAlignment="1">
      <alignment vertical="center" wrapText="1"/>
    </xf>
    <xf numFmtId="9" fontId="6" fillId="0" borderId="15" xfId="2" applyFont="1" applyBorder="1" applyAlignment="1">
      <alignment vertical="center"/>
    </xf>
    <xf numFmtId="164" fontId="0" fillId="5" borderId="16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12" fillId="10" borderId="1" xfId="3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7" xfId="0" applyBorder="1"/>
    <xf numFmtId="167" fontId="0" fillId="9" borderId="1" xfId="0" applyNumberFormat="1" applyFill="1" applyBorder="1" applyAlignment="1">
      <alignment horizontal="right"/>
    </xf>
    <xf numFmtId="168" fontId="13" fillId="9" borderId="1" xfId="3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3" fontId="17" fillId="0" borderId="0" xfId="0" applyNumberFormat="1" applyFont="1" applyFill="1" applyBorder="1"/>
    <xf numFmtId="164" fontId="1" fillId="0" borderId="0" xfId="1" applyNumberFormat="1" applyFont="1" applyFill="1" applyBorder="1"/>
    <xf numFmtId="0" fontId="0" fillId="0" borderId="0" xfId="0" applyFill="1" applyBorder="1"/>
    <xf numFmtId="0" fontId="7" fillId="12" borderId="1" xfId="0" applyFont="1" applyFill="1" applyBorder="1" applyAlignment="1">
      <alignment horizontal="right" vertical="center" wrapText="1"/>
    </xf>
    <xf numFmtId="164" fontId="1" fillId="7" borderId="1" xfId="1" applyNumberFormat="1" applyFont="1" applyFill="1" applyBorder="1"/>
    <xf numFmtId="3" fontId="2" fillId="12" borderId="1" xfId="0" applyNumberFormat="1" applyFont="1" applyFill="1" applyBorder="1"/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 2" xfId="4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A3" sqref="A3:D3"/>
    </sheetView>
  </sheetViews>
  <sheetFormatPr defaultRowHeight="15" x14ac:dyDescent="0.25"/>
  <cols>
    <col min="1" max="1" width="18.42578125" customWidth="1"/>
    <col min="2" max="2" width="20.7109375" customWidth="1"/>
    <col min="3" max="3" width="40" style="83" customWidth="1"/>
    <col min="5" max="5" width="12.5703125" bestFit="1" customWidth="1"/>
  </cols>
  <sheetData>
    <row r="1" spans="1:4" ht="21" x14ac:dyDescent="0.35">
      <c r="A1" s="89" t="s">
        <v>0</v>
      </c>
      <c r="B1" s="89"/>
      <c r="C1" s="89"/>
      <c r="D1" s="89"/>
    </row>
    <row r="2" spans="1:4" ht="21" x14ac:dyDescent="0.35">
      <c r="A2" s="90" t="s">
        <v>1</v>
      </c>
      <c r="B2" s="90"/>
      <c r="C2" s="90"/>
      <c r="D2" s="90"/>
    </row>
    <row r="3" spans="1:4" ht="104.25" customHeight="1" x14ac:dyDescent="0.25">
      <c r="A3" s="87" t="s">
        <v>2</v>
      </c>
      <c r="B3" s="87"/>
      <c r="C3" s="88"/>
      <c r="D3" s="88"/>
    </row>
    <row r="4" spans="1:4" s="42" customFormat="1" ht="19.5" customHeight="1" x14ac:dyDescent="0.25">
      <c r="A4" s="41" t="s">
        <v>3</v>
      </c>
      <c r="B4" s="84" t="s">
        <v>4</v>
      </c>
      <c r="C4" s="80"/>
    </row>
    <row r="5" spans="1:4" ht="17.25" x14ac:dyDescent="0.25">
      <c r="A5" s="33" t="s">
        <v>5</v>
      </c>
      <c r="B5" s="85">
        <v>6537374</v>
      </c>
      <c r="C5" s="81"/>
    </row>
    <row r="6" spans="1:4" x14ac:dyDescent="0.25">
      <c r="A6" s="33" t="s">
        <v>6</v>
      </c>
      <c r="B6" s="85">
        <v>354669</v>
      </c>
      <c r="C6" s="81"/>
    </row>
    <row r="7" spans="1:4" x14ac:dyDescent="0.25">
      <c r="A7" s="33" t="s">
        <v>7</v>
      </c>
      <c r="B7" s="85">
        <v>487482</v>
      </c>
      <c r="C7" s="81"/>
    </row>
    <row r="8" spans="1:4" x14ac:dyDescent="0.25">
      <c r="A8" s="33" t="s">
        <v>8</v>
      </c>
      <c r="B8" s="85">
        <v>912213</v>
      </c>
      <c r="C8" s="81"/>
    </row>
    <row r="9" spans="1:4" x14ac:dyDescent="0.25">
      <c r="A9" s="33" t="s">
        <v>9</v>
      </c>
      <c r="B9" s="85">
        <v>1224383</v>
      </c>
      <c r="C9" s="81"/>
    </row>
    <row r="10" spans="1:4" x14ac:dyDescent="0.25">
      <c r="A10" s="33" t="s">
        <v>10</v>
      </c>
      <c r="B10" s="85">
        <v>515889</v>
      </c>
      <c r="C10" s="81"/>
    </row>
    <row r="11" spans="1:4" x14ac:dyDescent="0.25">
      <c r="A11" s="33" t="s">
        <v>11</v>
      </c>
      <c r="B11" s="85">
        <v>459468</v>
      </c>
      <c r="C11" s="81"/>
    </row>
    <row r="12" spans="1:4" x14ac:dyDescent="0.25">
      <c r="A12" s="33" t="s">
        <v>12</v>
      </c>
      <c r="B12" s="85">
        <v>4844667</v>
      </c>
      <c r="C12" s="81"/>
    </row>
    <row r="13" spans="1:4" x14ac:dyDescent="0.25">
      <c r="A13" s="33" t="s">
        <v>13</v>
      </c>
      <c r="B13" s="85">
        <v>474087</v>
      </c>
      <c r="C13" s="81"/>
    </row>
    <row r="14" spans="1:4" x14ac:dyDescent="0.25">
      <c r="A14" s="33" t="s">
        <v>14</v>
      </c>
      <c r="B14" s="85">
        <v>1015644</v>
      </c>
      <c r="C14" s="81"/>
    </row>
    <row r="15" spans="1:4" x14ac:dyDescent="0.25">
      <c r="A15" s="33" t="s">
        <v>15</v>
      </c>
      <c r="B15" s="85">
        <v>6126172</v>
      </c>
      <c r="C15" s="81"/>
    </row>
    <row r="16" spans="1:4" x14ac:dyDescent="0.25">
      <c r="A16" s="33" t="s">
        <v>16</v>
      </c>
      <c r="B16" s="85">
        <v>482368</v>
      </c>
      <c r="C16" s="81"/>
    </row>
    <row r="17" spans="1:3" x14ac:dyDescent="0.25">
      <c r="A17" s="33" t="s">
        <v>17</v>
      </c>
      <c r="B17" s="85">
        <v>938349</v>
      </c>
      <c r="C17" s="81"/>
    </row>
    <row r="18" spans="1:3" x14ac:dyDescent="0.25">
      <c r="A18" s="33" t="s">
        <v>18</v>
      </c>
      <c r="B18" s="85">
        <v>1568105</v>
      </c>
      <c r="C18" s="81"/>
    </row>
    <row r="19" spans="1:3" x14ac:dyDescent="0.25">
      <c r="A19" s="33" t="s">
        <v>19</v>
      </c>
      <c r="B19" s="85">
        <v>423621</v>
      </c>
      <c r="C19" s="81"/>
    </row>
    <row r="20" spans="1:3" x14ac:dyDescent="0.25">
      <c r="A20" s="33" t="s">
        <v>20</v>
      </c>
      <c r="B20" s="85">
        <v>5381815</v>
      </c>
      <c r="C20" s="81"/>
    </row>
    <row r="21" spans="1:3" x14ac:dyDescent="0.25">
      <c r="A21" s="33" t="s">
        <v>21</v>
      </c>
      <c r="B21" s="85">
        <v>1175830</v>
      </c>
      <c r="C21" s="81"/>
    </row>
    <row r="22" spans="1:3" x14ac:dyDescent="0.25">
      <c r="A22" s="33" t="s">
        <v>22</v>
      </c>
      <c r="B22" s="85">
        <v>641433</v>
      </c>
      <c r="C22" s="81"/>
    </row>
    <row r="23" spans="1:3" x14ac:dyDescent="0.25">
      <c r="A23" s="33" t="s">
        <v>23</v>
      </c>
      <c r="B23" s="85">
        <v>481278</v>
      </c>
      <c r="C23" s="81"/>
    </row>
    <row r="24" spans="1:3" ht="17.25" x14ac:dyDescent="0.25">
      <c r="A24" s="33" t="s">
        <v>24</v>
      </c>
      <c r="B24" s="85">
        <v>2807624</v>
      </c>
      <c r="C24" s="82"/>
    </row>
    <row r="25" spans="1:3" ht="17.25" x14ac:dyDescent="0.25">
      <c r="A25" s="33" t="s">
        <v>25</v>
      </c>
      <c r="B25" s="85">
        <v>47328331</v>
      </c>
      <c r="C25" s="82"/>
    </row>
    <row r="26" spans="1:3" x14ac:dyDescent="0.25">
      <c r="A26" s="33" t="s">
        <v>26</v>
      </c>
      <c r="B26" s="85">
        <v>1217976</v>
      </c>
      <c r="C26" s="81"/>
    </row>
    <row r="27" spans="1:3" x14ac:dyDescent="0.25">
      <c r="A27" s="33" t="s">
        <v>27</v>
      </c>
      <c r="B27" s="85">
        <v>1241952</v>
      </c>
      <c r="C27" s="81"/>
    </row>
    <row r="28" spans="1:3" x14ac:dyDescent="0.25">
      <c r="A28" s="33" t="s">
        <v>28</v>
      </c>
      <c r="B28" s="85">
        <v>421598</v>
      </c>
      <c r="C28" s="81"/>
    </row>
    <row r="29" spans="1:3" x14ac:dyDescent="0.25">
      <c r="A29" s="33" t="s">
        <v>29</v>
      </c>
      <c r="B29" s="85">
        <v>723894</v>
      </c>
      <c r="C29" s="81"/>
    </row>
    <row r="30" spans="1:3" x14ac:dyDescent="0.25">
      <c r="A30" s="33" t="s">
        <v>30</v>
      </c>
      <c r="B30" s="85">
        <v>1882112</v>
      </c>
      <c r="C30" s="81"/>
    </row>
    <row r="31" spans="1:3" x14ac:dyDescent="0.25">
      <c r="A31" s="33" t="s">
        <v>31</v>
      </c>
      <c r="B31" s="85">
        <v>394124</v>
      </c>
      <c r="C31" s="81"/>
    </row>
    <row r="32" spans="1:3" x14ac:dyDescent="0.25">
      <c r="A32" s="33" t="s">
        <v>32</v>
      </c>
      <c r="B32" s="85">
        <v>403629</v>
      </c>
      <c r="C32" s="81"/>
    </row>
    <row r="33" spans="1:5" x14ac:dyDescent="0.25">
      <c r="A33" s="33" t="s">
        <v>33</v>
      </c>
      <c r="B33" s="85">
        <v>2563477</v>
      </c>
      <c r="C33" s="81"/>
    </row>
    <row r="34" spans="1:5" x14ac:dyDescent="0.25">
      <c r="A34" s="33" t="s">
        <v>34</v>
      </c>
      <c r="B34" s="85">
        <v>896612</v>
      </c>
      <c r="C34" s="81"/>
    </row>
    <row r="35" spans="1:5" x14ac:dyDescent="0.25">
      <c r="A35" s="33" t="s">
        <v>35</v>
      </c>
      <c r="B35" s="85">
        <v>690079</v>
      </c>
      <c r="C35" s="81"/>
    </row>
    <row r="36" spans="1:5" x14ac:dyDescent="0.25">
      <c r="A36" s="33" t="s">
        <v>36</v>
      </c>
      <c r="B36" s="85">
        <v>13351733</v>
      </c>
      <c r="C36" s="81"/>
    </row>
    <row r="37" spans="1:5" ht="17.25" x14ac:dyDescent="0.25">
      <c r="A37" s="33" t="s">
        <v>37</v>
      </c>
      <c r="B37" s="85">
        <v>1033025</v>
      </c>
      <c r="C37" s="82"/>
    </row>
    <row r="38" spans="1:5" x14ac:dyDescent="0.25">
      <c r="A38" s="33" t="s">
        <v>38</v>
      </c>
      <c r="B38" s="85">
        <v>1661462</v>
      </c>
      <c r="C38" s="81"/>
      <c r="E38" s="40"/>
    </row>
    <row r="39" spans="1:5" x14ac:dyDescent="0.25">
      <c r="A39" s="33" t="s">
        <v>39</v>
      </c>
      <c r="B39" s="85">
        <v>420397</v>
      </c>
      <c r="C39" s="81"/>
    </row>
    <row r="40" spans="1:5" x14ac:dyDescent="0.25">
      <c r="A40" s="33" t="s">
        <v>40</v>
      </c>
      <c r="B40" s="85">
        <v>11782061</v>
      </c>
      <c r="C40" s="81"/>
    </row>
    <row r="41" spans="1:5" x14ac:dyDescent="0.25">
      <c r="A41" s="33" t="s">
        <v>41</v>
      </c>
      <c r="B41" s="85">
        <v>7072450</v>
      </c>
      <c r="C41" s="81"/>
    </row>
    <row r="42" spans="1:5" x14ac:dyDescent="0.25">
      <c r="A42" s="33" t="s">
        <v>42</v>
      </c>
      <c r="B42" s="85">
        <v>647267</v>
      </c>
      <c r="C42" s="81"/>
    </row>
    <row r="43" spans="1:5" x14ac:dyDescent="0.25">
      <c r="A43" s="33" t="s">
        <v>43</v>
      </c>
      <c r="B43" s="85">
        <v>11284416</v>
      </c>
      <c r="C43" s="81"/>
    </row>
    <row r="44" spans="1:5" x14ac:dyDescent="0.25">
      <c r="A44" s="33" t="s">
        <v>44</v>
      </c>
      <c r="B44" s="85">
        <v>14356108</v>
      </c>
      <c r="C44" s="81"/>
    </row>
    <row r="45" spans="1:5" x14ac:dyDescent="0.25">
      <c r="A45" s="33" t="s">
        <v>45</v>
      </c>
      <c r="B45" s="85">
        <v>3639888</v>
      </c>
      <c r="C45" s="81"/>
    </row>
    <row r="46" spans="1:5" x14ac:dyDescent="0.25">
      <c r="A46" s="33" t="s">
        <v>46</v>
      </c>
      <c r="B46" s="85">
        <v>4031505</v>
      </c>
      <c r="C46" s="81"/>
    </row>
    <row r="47" spans="1:5" x14ac:dyDescent="0.25">
      <c r="A47" s="33" t="s">
        <v>47</v>
      </c>
      <c r="B47" s="85">
        <v>1459610</v>
      </c>
      <c r="C47" s="81"/>
    </row>
    <row r="48" spans="1:5" x14ac:dyDescent="0.25">
      <c r="A48" s="33" t="s">
        <v>48</v>
      </c>
      <c r="B48" s="85">
        <v>3141653</v>
      </c>
      <c r="C48" s="81"/>
    </row>
    <row r="49" spans="1:3" x14ac:dyDescent="0.25">
      <c r="A49" s="33" t="s">
        <v>49</v>
      </c>
      <c r="B49" s="85">
        <v>2433999</v>
      </c>
      <c r="C49" s="81"/>
    </row>
    <row r="50" spans="1:3" x14ac:dyDescent="0.25">
      <c r="A50" s="33" t="s">
        <v>50</v>
      </c>
      <c r="B50" s="85">
        <v>7296326</v>
      </c>
      <c r="C50" s="81"/>
    </row>
    <row r="51" spans="1:3" x14ac:dyDescent="0.25">
      <c r="A51" s="33" t="s">
        <v>51</v>
      </c>
      <c r="B51" s="85">
        <v>1475452</v>
      </c>
      <c r="C51" s="81"/>
    </row>
    <row r="52" spans="1:3" x14ac:dyDescent="0.25">
      <c r="A52" s="33" t="s">
        <v>52</v>
      </c>
      <c r="B52" s="85">
        <v>1031180</v>
      </c>
      <c r="C52" s="81"/>
    </row>
    <row r="53" spans="1:3" x14ac:dyDescent="0.25">
      <c r="A53" s="33" t="s">
        <v>53</v>
      </c>
      <c r="B53" s="85">
        <v>362059</v>
      </c>
      <c r="C53" s="81"/>
    </row>
    <row r="54" spans="1:3" x14ac:dyDescent="0.25">
      <c r="A54" s="33" t="s">
        <v>54</v>
      </c>
      <c r="B54" s="85">
        <v>538801</v>
      </c>
      <c r="C54" s="81"/>
    </row>
    <row r="55" spans="1:3" x14ac:dyDescent="0.25">
      <c r="A55" s="33" t="s">
        <v>55</v>
      </c>
      <c r="B55" s="85">
        <v>2186187</v>
      </c>
      <c r="C55" s="81"/>
    </row>
    <row r="56" spans="1:3" x14ac:dyDescent="0.25">
      <c r="A56" s="33" t="s">
        <v>56</v>
      </c>
      <c r="B56" s="85">
        <v>2174091</v>
      </c>
      <c r="C56" s="81"/>
    </row>
    <row r="57" spans="1:3" x14ac:dyDescent="0.25">
      <c r="A57" s="33" t="s">
        <v>57</v>
      </c>
      <c r="B57" s="85">
        <v>2975808</v>
      </c>
      <c r="C57" s="81"/>
    </row>
    <row r="58" spans="1:3" x14ac:dyDescent="0.25">
      <c r="A58" s="33" t="s">
        <v>58</v>
      </c>
      <c r="B58" s="85">
        <v>787927</v>
      </c>
      <c r="C58" s="81"/>
    </row>
    <row r="59" spans="1:3" x14ac:dyDescent="0.25">
      <c r="A59" s="33" t="s">
        <v>59</v>
      </c>
      <c r="B59" s="85">
        <v>642801</v>
      </c>
      <c r="C59" s="81"/>
    </row>
    <row r="60" spans="1:3" x14ac:dyDescent="0.25">
      <c r="A60" s="33" t="s">
        <v>60</v>
      </c>
      <c r="B60" s="85">
        <v>405254</v>
      </c>
      <c r="C60" s="81"/>
    </row>
    <row r="61" spans="1:3" x14ac:dyDescent="0.25">
      <c r="A61" s="33" t="s">
        <v>61</v>
      </c>
      <c r="B61" s="85">
        <v>3085604</v>
      </c>
      <c r="C61" s="81"/>
    </row>
    <row r="62" spans="1:3" x14ac:dyDescent="0.25">
      <c r="A62" s="33" t="s">
        <v>62</v>
      </c>
      <c r="B62" s="85">
        <v>543960</v>
      </c>
      <c r="C62" s="81"/>
    </row>
    <row r="63" spans="1:3" x14ac:dyDescent="0.25">
      <c r="A63" s="33" t="s">
        <v>63</v>
      </c>
      <c r="B63" s="85">
        <v>3857269</v>
      </c>
      <c r="C63" s="81"/>
    </row>
    <row r="64" spans="1:3" x14ac:dyDescent="0.25">
      <c r="A64" s="33" t="s">
        <v>64</v>
      </c>
      <c r="B64" s="85">
        <v>1397659</v>
      </c>
      <c r="C64" s="81"/>
    </row>
    <row r="65" spans="1:3" x14ac:dyDescent="0.25">
      <c r="A65" s="33" t="s">
        <v>65</v>
      </c>
      <c r="B65" s="85">
        <v>707793</v>
      </c>
      <c r="C65" s="81"/>
    </row>
    <row r="66" spans="1:3" x14ac:dyDescent="0.25">
      <c r="A66" s="34"/>
      <c r="B66" s="77"/>
      <c r="C66" s="81"/>
    </row>
    <row r="67" spans="1:3" x14ac:dyDescent="0.25">
      <c r="A67" s="35" t="s">
        <v>66</v>
      </c>
      <c r="B67" s="86">
        <f>SUM(B5:B66)</f>
        <v>200400000</v>
      </c>
      <c r="C67" s="81"/>
    </row>
    <row r="68" spans="1:3" x14ac:dyDescent="0.25">
      <c r="A68" s="35" t="s">
        <v>67</v>
      </c>
      <c r="B68" s="86" cm="1">
        <f t="array" ref="B68">MIN(IF($B$5:$B$65&lt;&gt;0,$B$5:$B$65))</f>
        <v>354669</v>
      </c>
      <c r="C68" s="81"/>
    </row>
    <row r="69" spans="1:3" x14ac:dyDescent="0.25">
      <c r="A69" s="35" t="s">
        <v>68</v>
      </c>
      <c r="B69" s="86">
        <f>MAX(B5:B66)</f>
        <v>47328331</v>
      </c>
    </row>
    <row r="71" spans="1:3" x14ac:dyDescent="0.25">
      <c r="A71" s="39" t="s">
        <v>69</v>
      </c>
    </row>
    <row r="72" spans="1:3" x14ac:dyDescent="0.25">
      <c r="A72" s="39" t="s">
        <v>70</v>
      </c>
    </row>
  </sheetData>
  <sheetProtection algorithmName="SHA-512" hashValue="n5wK6L7688tYtHStm/VoCcyeH01GJd7ZfgDB8/839sQa3BprUAc2EjimeErfcsXaGQCjb/+yFZ/KfVKW4v5bPQ==" saltValue="qEvmg6KXIOgHayJO8EGxLw==" spinCount="100000" sheet="1" formatCells="0" formatColumns="0" formatRows="0" insertColumns="0" insertRows="0" insertHyperlinks="0" deleteColumns="0" deleteRows="0"/>
  <mergeCells count="3">
    <mergeCell ref="A3:D3"/>
    <mergeCell ref="A1:D1"/>
    <mergeCell ref="A2:D2"/>
  </mergeCells>
  <pageMargins left="0.45" right="0.45" top="0.5" bottom="0.5" header="0.3" footer="0.3"/>
  <pageSetup scale="80" orientation="landscape" horizontalDpi="90" verticalDpi="90" r:id="rId1"/>
  <headerFooter>
    <oddHeader>&amp;RFoPH Allocation - FY 2022-23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F8" sqref="F8"/>
    </sheetView>
  </sheetViews>
  <sheetFormatPr defaultRowHeight="15" x14ac:dyDescent="0.25"/>
  <cols>
    <col min="1" max="1" width="21.42578125" customWidth="1"/>
    <col min="2" max="2" width="15.7109375" style="1" customWidth="1"/>
    <col min="3" max="6" width="15.7109375" style="4" customWidth="1"/>
  </cols>
  <sheetData>
    <row r="1" spans="1:6" ht="19.5" thickBot="1" x14ac:dyDescent="0.35">
      <c r="A1" s="10" t="s">
        <v>71</v>
      </c>
    </row>
    <row r="2" spans="1:6" ht="15.75" thickBot="1" x14ac:dyDescent="0.3">
      <c r="A2" s="23" t="s">
        <v>72</v>
      </c>
      <c r="B2" s="17"/>
      <c r="C2" s="18" t="s">
        <v>73</v>
      </c>
      <c r="F2"/>
    </row>
    <row r="3" spans="1:6" ht="31.5" customHeight="1" x14ac:dyDescent="0.25">
      <c r="A3" s="59" t="s">
        <v>74</v>
      </c>
      <c r="B3" s="60">
        <v>200400000</v>
      </c>
      <c r="C3" s="61"/>
    </row>
    <row r="4" spans="1:6" ht="31.5" customHeight="1" x14ac:dyDescent="0.25">
      <c r="A4" s="62" t="s">
        <v>75</v>
      </c>
      <c r="B4" s="63">
        <v>350000</v>
      </c>
      <c r="C4" s="64">
        <f>lhjbase*61</f>
        <v>21350000</v>
      </c>
      <c r="F4"/>
    </row>
    <row r="5" spans="1:6" ht="31.5" customHeight="1" x14ac:dyDescent="0.25">
      <c r="A5" s="65" t="s">
        <v>76</v>
      </c>
      <c r="B5" s="66">
        <f>$B$3-$C$73</f>
        <v>179050000</v>
      </c>
      <c r="C5" s="64"/>
      <c r="F5"/>
    </row>
    <row r="6" spans="1:6" ht="30" x14ac:dyDescent="0.25">
      <c r="A6" s="62" t="s">
        <v>77</v>
      </c>
      <c r="B6" s="67">
        <v>0.5</v>
      </c>
      <c r="C6" s="68">
        <f>percpop*$B$5</f>
        <v>89525000</v>
      </c>
      <c r="F6"/>
    </row>
    <row r="7" spans="1:6" ht="45" x14ac:dyDescent="0.25">
      <c r="A7" s="62" t="s">
        <v>78</v>
      </c>
      <c r="B7" s="67">
        <v>0.25</v>
      </c>
      <c r="C7" s="68">
        <f>percpov*$B$5</f>
        <v>44762500</v>
      </c>
      <c r="F7"/>
    </row>
    <row r="8" spans="1:6" ht="30.75" thickBot="1" x14ac:dyDescent="0.3">
      <c r="A8" s="69" t="s">
        <v>79</v>
      </c>
      <c r="B8" s="70">
        <v>0.25</v>
      </c>
      <c r="C8" s="71">
        <f>B8*B5</f>
        <v>44762500</v>
      </c>
      <c r="F8"/>
    </row>
    <row r="9" spans="1:6" s="25" customFormat="1" x14ac:dyDescent="0.25">
      <c r="A9" s="28"/>
      <c r="B9" s="29"/>
      <c r="C9" s="30"/>
      <c r="D9" s="24"/>
      <c r="E9" s="24"/>
      <c r="F9" s="24"/>
    </row>
    <row r="10" spans="1:6" s="57" customFormat="1" ht="45" x14ac:dyDescent="0.25">
      <c r="A10" s="58" t="s">
        <v>3</v>
      </c>
      <c r="B10" s="56" t="s">
        <v>80</v>
      </c>
      <c r="C10" s="56" t="s">
        <v>81</v>
      </c>
      <c r="D10" s="56" t="s">
        <v>82</v>
      </c>
      <c r="E10" s="56" t="s">
        <v>83</v>
      </c>
      <c r="F10" s="55" t="s">
        <v>84</v>
      </c>
    </row>
    <row r="11" spans="1:6" ht="17.25" x14ac:dyDescent="0.25">
      <c r="A11" s="3" t="s">
        <v>85</v>
      </c>
      <c r="B11" s="43">
        <f t="shared" ref="B11:B42" si="0">SUM(C11:F11)</f>
        <v>6537374</v>
      </c>
      <c r="C11" s="44">
        <f t="shared" ref="C11:C31" si="1">$B$4</f>
        <v>350000</v>
      </c>
      <c r="D11" s="44">
        <f>ROUND(Data!C5*amtpop,0)</f>
        <v>3486292</v>
      </c>
      <c r="E11" s="44">
        <f>ROUND(amtpov*Data!F5,0)</f>
        <v>1306201</v>
      </c>
      <c r="F11" s="45">
        <f>ROUND(Data!K5*$C$8,0)</f>
        <v>1394881</v>
      </c>
    </row>
    <row r="12" spans="1:6" x14ac:dyDescent="0.25">
      <c r="A12" s="3" t="s">
        <v>6</v>
      </c>
      <c r="B12" s="43">
        <f t="shared" si="0"/>
        <v>354669</v>
      </c>
      <c r="C12" s="44">
        <f t="shared" si="1"/>
        <v>350000</v>
      </c>
      <c r="D12" s="44">
        <f>ROUND(Data!C6*amtpop,0)</f>
        <v>2509</v>
      </c>
      <c r="E12" s="44">
        <f>ROUND(amtpov*Data!F6,0)</f>
        <v>1817</v>
      </c>
      <c r="F12" s="45">
        <f>ROUND(Data!K6*$C$8,0)</f>
        <v>343</v>
      </c>
    </row>
    <row r="13" spans="1:6" ht="14.25" customHeight="1" x14ac:dyDescent="0.25">
      <c r="A13" s="3" t="s">
        <v>7</v>
      </c>
      <c r="B13" s="43">
        <f t="shared" si="0"/>
        <v>487482</v>
      </c>
      <c r="C13" s="44">
        <f t="shared" si="1"/>
        <v>350000</v>
      </c>
      <c r="D13" s="44">
        <f>ROUND(Data!C7*amtpop,0)</f>
        <v>84562</v>
      </c>
      <c r="E13" s="44">
        <f>ROUND(amtpov*Data!F7,0)</f>
        <v>34887</v>
      </c>
      <c r="F13" s="45">
        <f>ROUND(Data!K7*$C$8,0)</f>
        <v>18033</v>
      </c>
    </row>
    <row r="14" spans="1:6" x14ac:dyDescent="0.25">
      <c r="A14" s="3" t="s">
        <v>8</v>
      </c>
      <c r="B14" s="43">
        <f t="shared" si="0"/>
        <v>912213</v>
      </c>
      <c r="C14" s="44">
        <f t="shared" si="1"/>
        <v>350000</v>
      </c>
      <c r="D14" s="44">
        <f>ROUND(Data!C8*amtpop,0)</f>
        <v>276018</v>
      </c>
      <c r="E14" s="44">
        <f>ROUND(amtpov*Data!F8,0)</f>
        <v>223098</v>
      </c>
      <c r="F14" s="45">
        <f>ROUND(Data!K8*$C$8,0)</f>
        <v>63097</v>
      </c>
    </row>
    <row r="15" spans="1:6" x14ac:dyDescent="0.25">
      <c r="A15" s="3" t="s">
        <v>9</v>
      </c>
      <c r="B15" s="43">
        <f t="shared" si="0"/>
        <v>1224383</v>
      </c>
      <c r="C15" s="44">
        <f t="shared" si="1"/>
        <v>350000</v>
      </c>
      <c r="D15" s="44">
        <f>ROUND(Data!C9*amtpop,0)</f>
        <v>464390</v>
      </c>
      <c r="E15" s="44">
        <f>ROUND(amtpov*Data!F9,0)</f>
        <v>314749</v>
      </c>
      <c r="F15" s="45">
        <f>ROUND(Data!K9*$C$8,0)</f>
        <v>95244</v>
      </c>
    </row>
    <row r="16" spans="1:6" x14ac:dyDescent="0.25">
      <c r="A16" s="3" t="s">
        <v>10</v>
      </c>
      <c r="B16" s="43">
        <f t="shared" si="0"/>
        <v>515889</v>
      </c>
      <c r="C16" s="44">
        <f t="shared" si="1"/>
        <v>350000</v>
      </c>
      <c r="D16" s="44">
        <f>ROUND(Data!C10*amtpop,0)</f>
        <v>99660</v>
      </c>
      <c r="E16" s="44">
        <f>ROUND(amtpov*Data!F10,0)</f>
        <v>50765</v>
      </c>
      <c r="F16" s="45">
        <f>ROUND(Data!K10*$C$8,0)</f>
        <v>15464</v>
      </c>
    </row>
    <row r="17" spans="1:6" x14ac:dyDescent="0.25">
      <c r="A17" s="3" t="s">
        <v>11</v>
      </c>
      <c r="B17" s="43">
        <f t="shared" si="0"/>
        <v>459468</v>
      </c>
      <c r="C17" s="44">
        <f t="shared" si="1"/>
        <v>350000</v>
      </c>
      <c r="D17" s="44">
        <f>ROUND(Data!C11*amtpop,0)</f>
        <v>49677</v>
      </c>
      <c r="E17" s="44">
        <f>ROUND(amtpov*Data!F11,0)</f>
        <v>25095</v>
      </c>
      <c r="F17" s="45">
        <f>ROUND(Data!K11*$C$8,0)</f>
        <v>34696</v>
      </c>
    </row>
    <row r="18" spans="1:6" x14ac:dyDescent="0.25">
      <c r="A18" s="3" t="s">
        <v>12</v>
      </c>
      <c r="B18" s="43">
        <f t="shared" si="0"/>
        <v>4844667</v>
      </c>
      <c r="C18" s="44">
        <f t="shared" si="1"/>
        <v>350000</v>
      </c>
      <c r="D18" s="44">
        <f>ROUND(Data!C12*amtpop,0)</f>
        <v>2587470</v>
      </c>
      <c r="E18" s="44">
        <f>ROUND(amtpov*Data!F12,0)</f>
        <v>860516</v>
      </c>
      <c r="F18" s="45">
        <f>ROUND(Data!K12*$C$8,0)</f>
        <v>1046681</v>
      </c>
    </row>
    <row r="19" spans="1:6" x14ac:dyDescent="0.25">
      <c r="A19" s="3" t="s">
        <v>13</v>
      </c>
      <c r="B19" s="43">
        <f t="shared" si="0"/>
        <v>474087</v>
      </c>
      <c r="C19" s="44">
        <f t="shared" si="1"/>
        <v>350000</v>
      </c>
      <c r="D19" s="44">
        <f>ROUND(Data!C13*amtpop,0)</f>
        <v>61194</v>
      </c>
      <c r="E19" s="44">
        <f>ROUND(amtpov*Data!F13,0)</f>
        <v>46113</v>
      </c>
      <c r="F19" s="45">
        <f>ROUND(Data!K13*$C$8,0)</f>
        <v>16780</v>
      </c>
    </row>
    <row r="20" spans="1:6" x14ac:dyDescent="0.25">
      <c r="A20" s="3" t="s">
        <v>14</v>
      </c>
      <c r="B20" s="43">
        <f t="shared" si="0"/>
        <v>1015644</v>
      </c>
      <c r="C20" s="44">
        <f t="shared" si="1"/>
        <v>350000</v>
      </c>
      <c r="D20" s="44">
        <f>ROUND(Data!C14*amtpop,0)</f>
        <v>432097</v>
      </c>
      <c r="E20" s="44">
        <f>ROUND(amtpov*Data!F14,0)</f>
        <v>158255</v>
      </c>
      <c r="F20" s="45">
        <f>ROUND(Data!K14*$C$8,0)</f>
        <v>75292</v>
      </c>
    </row>
    <row r="21" spans="1:6" x14ac:dyDescent="0.25">
      <c r="A21" s="3" t="s">
        <v>15</v>
      </c>
      <c r="B21" s="43">
        <f t="shared" si="0"/>
        <v>6126172</v>
      </c>
      <c r="C21" s="44">
        <f t="shared" si="1"/>
        <v>350000</v>
      </c>
      <c r="D21" s="44">
        <f>ROUND(Data!C15*amtpop,0)</f>
        <v>2309680</v>
      </c>
      <c r="E21" s="44">
        <f>ROUND(amtpov*Data!F15,0)</f>
        <v>1993252</v>
      </c>
      <c r="F21" s="45">
        <f>ROUND(Data!K15*$C$8,0)</f>
        <v>1473240</v>
      </c>
    </row>
    <row r="22" spans="1:6" x14ac:dyDescent="0.25">
      <c r="A22" s="3" t="s">
        <v>16</v>
      </c>
      <c r="B22" s="43">
        <f t="shared" si="0"/>
        <v>482368</v>
      </c>
      <c r="C22" s="44">
        <f t="shared" si="1"/>
        <v>350000</v>
      </c>
      <c r="D22" s="44">
        <f>ROUND(Data!C16*amtpop,0)</f>
        <v>66402</v>
      </c>
      <c r="E22" s="44">
        <f>ROUND(amtpov*Data!F16,0)</f>
        <v>33824</v>
      </c>
      <c r="F22" s="45">
        <f>ROUND(Data!K16*$C$8,0)</f>
        <v>32142</v>
      </c>
    </row>
    <row r="23" spans="1:6" x14ac:dyDescent="0.25">
      <c r="A23" s="3" t="s">
        <v>17</v>
      </c>
      <c r="B23" s="43">
        <f t="shared" si="0"/>
        <v>938349</v>
      </c>
      <c r="C23" s="44">
        <f t="shared" si="1"/>
        <v>350000</v>
      </c>
      <c r="D23" s="44">
        <f>ROUND(Data!C17*amtpop,0)</f>
        <v>298637</v>
      </c>
      <c r="E23" s="44">
        <f>ROUND(amtpov*Data!F17,0)</f>
        <v>240123</v>
      </c>
      <c r="F23" s="45">
        <f>ROUND(Data!K17*$C$8,0)</f>
        <v>49589</v>
      </c>
    </row>
    <row r="24" spans="1:6" x14ac:dyDescent="0.25">
      <c r="A24" s="3" t="s">
        <v>18</v>
      </c>
      <c r="B24" s="43">
        <f t="shared" si="0"/>
        <v>1568105</v>
      </c>
      <c r="C24" s="44">
        <f t="shared" si="1"/>
        <v>350000</v>
      </c>
      <c r="D24" s="44">
        <f>ROUND(Data!C18*amtpop,0)</f>
        <v>423271</v>
      </c>
      <c r="E24" s="44">
        <f>ROUND(amtpov*Data!F18,0)</f>
        <v>392011</v>
      </c>
      <c r="F24" s="45">
        <f>ROUND(Data!K18*$C$8,0)</f>
        <v>402823</v>
      </c>
    </row>
    <row r="25" spans="1:6" x14ac:dyDescent="0.25">
      <c r="A25" s="3" t="s">
        <v>19</v>
      </c>
      <c r="B25" s="43">
        <f t="shared" si="0"/>
        <v>423621</v>
      </c>
      <c r="C25" s="44">
        <f t="shared" si="1"/>
        <v>350000</v>
      </c>
      <c r="D25" s="44">
        <f>ROUND(Data!C19*amtpop,0)</f>
        <v>41472</v>
      </c>
      <c r="E25" s="44">
        <f>ROUND(amtpov*Data!F19,0)</f>
        <v>20427</v>
      </c>
      <c r="F25" s="45">
        <f>ROUND(Data!K19*$C$8,0)</f>
        <v>11722</v>
      </c>
    </row>
    <row r="26" spans="1:6" x14ac:dyDescent="0.25">
      <c r="A26" s="3" t="s">
        <v>20</v>
      </c>
      <c r="B26" s="43">
        <f t="shared" si="0"/>
        <v>5381815</v>
      </c>
      <c r="C26" s="44">
        <f t="shared" si="1"/>
        <v>350000</v>
      </c>
      <c r="D26" s="44">
        <f>ROUND(Data!C20*amtpop,0)</f>
        <v>2054527</v>
      </c>
      <c r="E26" s="44">
        <f>ROUND(amtpov*Data!F20,0)</f>
        <v>1643319</v>
      </c>
      <c r="F26" s="45">
        <f>ROUND(Data!K20*$C$8,0)</f>
        <v>1333969</v>
      </c>
    </row>
    <row r="27" spans="1:6" x14ac:dyDescent="0.25">
      <c r="A27" s="3" t="s">
        <v>21</v>
      </c>
      <c r="B27" s="43">
        <f t="shared" si="0"/>
        <v>1175830</v>
      </c>
      <c r="C27" s="44">
        <f t="shared" si="1"/>
        <v>350000</v>
      </c>
      <c r="D27" s="44">
        <f>ROUND(Data!C21*amtpop,0)</f>
        <v>348233</v>
      </c>
      <c r="E27" s="44">
        <f>ROUND(amtpov*Data!F21,0)</f>
        <v>234556</v>
      </c>
      <c r="F27" s="45">
        <f>ROUND(Data!K21*$C$8,0)</f>
        <v>243041</v>
      </c>
    </row>
    <row r="28" spans="1:6" x14ac:dyDescent="0.25">
      <c r="A28" s="3" t="s">
        <v>22</v>
      </c>
      <c r="B28" s="43">
        <f t="shared" si="0"/>
        <v>641433</v>
      </c>
      <c r="C28" s="44">
        <f t="shared" si="1"/>
        <v>350000</v>
      </c>
      <c r="D28" s="44">
        <f>ROUND(Data!C22*amtpop,0)</f>
        <v>143508</v>
      </c>
      <c r="E28" s="44">
        <f>ROUND(amtpov*Data!F22,0)</f>
        <v>110556</v>
      </c>
      <c r="F28" s="45">
        <f>ROUND(Data!K22*$C$8,0)</f>
        <v>37369</v>
      </c>
    </row>
    <row r="29" spans="1:6" x14ac:dyDescent="0.25">
      <c r="A29" s="3" t="s">
        <v>23</v>
      </c>
      <c r="B29" s="43">
        <f t="shared" si="0"/>
        <v>481278</v>
      </c>
      <c r="C29" s="44">
        <f t="shared" si="1"/>
        <v>350000</v>
      </c>
      <c r="D29" s="44">
        <f>ROUND(Data!C23*amtpop,0)</f>
        <v>64973</v>
      </c>
      <c r="E29" s="44">
        <f>ROUND(amtpov*Data!F23,0)</f>
        <v>45131</v>
      </c>
      <c r="F29" s="45">
        <f>ROUND(Data!K23*$C$8,0)</f>
        <v>21174</v>
      </c>
    </row>
    <row r="30" spans="1:6" ht="17.25" x14ac:dyDescent="0.25">
      <c r="A30" s="19" t="s">
        <v>86</v>
      </c>
      <c r="B30" s="43">
        <f t="shared" si="0"/>
        <v>2807624</v>
      </c>
      <c r="C30" s="44">
        <f t="shared" si="1"/>
        <v>350000</v>
      </c>
      <c r="D30" s="46">
        <f>ROUND(Data!C24*amtpop,0)</f>
        <v>1062519</v>
      </c>
      <c r="E30" s="46">
        <f>ROUND(amtpov*Data!F24,0)</f>
        <v>751454</v>
      </c>
      <c r="F30" s="45">
        <f>ROUND(Data!K24*$C$8,0)</f>
        <v>643651</v>
      </c>
    </row>
    <row r="31" spans="1:6" ht="17.25" x14ac:dyDescent="0.25">
      <c r="A31" s="19" t="s">
        <v>87</v>
      </c>
      <c r="B31" s="43">
        <f t="shared" si="0"/>
        <v>47328333</v>
      </c>
      <c r="C31" s="44">
        <f t="shared" si="1"/>
        <v>350000</v>
      </c>
      <c r="D31" s="46">
        <f>ROUND(Data!C25*amtpop,0)</f>
        <v>21501377</v>
      </c>
      <c r="E31" s="46">
        <f>ROUND(amtpov*Data!F25,0)</f>
        <v>12129068</v>
      </c>
      <c r="F31" s="45">
        <f>ROUND(Data!K25*$C$8,0)</f>
        <v>13347888</v>
      </c>
    </row>
    <row r="32" spans="1:6" x14ac:dyDescent="0.25">
      <c r="A32" s="19" t="s">
        <v>26</v>
      </c>
      <c r="B32" s="43">
        <f t="shared" si="0"/>
        <v>1217976</v>
      </c>
      <c r="C32" s="46">
        <f t="shared" ref="C32:C43" si="2">$B$4</f>
        <v>350000</v>
      </c>
      <c r="D32" s="46">
        <f>ROUND(Data!C26*amtpop,0)</f>
        <v>357345</v>
      </c>
      <c r="E32" s="46">
        <f>ROUND(amtpov*Data!F26,0)</f>
        <v>264762</v>
      </c>
      <c r="F32" s="45">
        <f>ROUND(Data!K26*$C$8,0)</f>
        <v>245869</v>
      </c>
    </row>
    <row r="33" spans="1:6" x14ac:dyDescent="0.25">
      <c r="A33" s="19" t="s">
        <v>27</v>
      </c>
      <c r="B33" s="43">
        <f t="shared" si="0"/>
        <v>1241952</v>
      </c>
      <c r="C33" s="46">
        <f t="shared" si="2"/>
        <v>350000</v>
      </c>
      <c r="D33" s="46">
        <f>ROUND(Data!C27*amtpop,0)</f>
        <v>582746</v>
      </c>
      <c r="E33" s="46">
        <f>ROUND(amtpov*Data!F27,0)</f>
        <v>169272</v>
      </c>
      <c r="F33" s="45">
        <f>ROUND(Data!K27*$C$8,0)</f>
        <v>139934</v>
      </c>
    </row>
    <row r="34" spans="1:6" x14ac:dyDescent="0.25">
      <c r="A34" s="19" t="s">
        <v>28</v>
      </c>
      <c r="B34" s="43">
        <f t="shared" si="0"/>
        <v>421598</v>
      </c>
      <c r="C34" s="46">
        <f t="shared" si="2"/>
        <v>350000</v>
      </c>
      <c r="D34" s="46">
        <f>ROUND(Data!C28*amtpop,0)</f>
        <v>40007</v>
      </c>
      <c r="E34" s="46">
        <f>ROUND(amtpov*Data!F28,0)</f>
        <v>25431</v>
      </c>
      <c r="F34" s="45">
        <f>ROUND(Data!K28*$C$8,0)</f>
        <v>6160</v>
      </c>
    </row>
    <row r="35" spans="1:6" x14ac:dyDescent="0.25">
      <c r="A35" s="19" t="s">
        <v>29</v>
      </c>
      <c r="B35" s="43">
        <f t="shared" si="0"/>
        <v>723894</v>
      </c>
      <c r="C35" s="46">
        <f t="shared" si="2"/>
        <v>350000</v>
      </c>
      <c r="D35" s="46">
        <f>ROUND(Data!C29*amtpop,0)</f>
        <v>196887</v>
      </c>
      <c r="E35" s="46">
        <f>ROUND(amtpov*Data!F29,0)</f>
        <v>116038</v>
      </c>
      <c r="F35" s="45">
        <f>ROUND(Data!K29*$C$8,0)</f>
        <v>60969</v>
      </c>
    </row>
    <row r="36" spans="1:6" x14ac:dyDescent="0.25">
      <c r="A36" s="19" t="s">
        <v>30</v>
      </c>
      <c r="B36" s="43">
        <f t="shared" si="0"/>
        <v>1882112</v>
      </c>
      <c r="C36" s="46">
        <f t="shared" si="2"/>
        <v>350000</v>
      </c>
      <c r="D36" s="46">
        <f>ROUND(Data!C30*amtpop,0)</f>
        <v>640816</v>
      </c>
      <c r="E36" s="46">
        <f>ROUND(amtpov*Data!F30,0)</f>
        <v>458605</v>
      </c>
      <c r="F36" s="45">
        <f>ROUND(Data!K30*$C$8,0)</f>
        <v>432691</v>
      </c>
    </row>
    <row r="37" spans="1:6" x14ac:dyDescent="0.25">
      <c r="A37" s="19" t="s">
        <v>31</v>
      </c>
      <c r="B37" s="43">
        <f t="shared" si="0"/>
        <v>394124</v>
      </c>
      <c r="C37" s="46">
        <f t="shared" si="2"/>
        <v>350000</v>
      </c>
      <c r="D37" s="46">
        <f>ROUND(Data!C31*amtpop,0)</f>
        <v>21189</v>
      </c>
      <c r="E37" s="46">
        <f>ROUND(amtpov*Data!F31,0)</f>
        <v>18286</v>
      </c>
      <c r="F37" s="45">
        <f>ROUND(Data!K31*$C$8,0)</f>
        <v>4649</v>
      </c>
    </row>
    <row r="38" spans="1:6" x14ac:dyDescent="0.25">
      <c r="A38" s="19" t="s">
        <v>32</v>
      </c>
      <c r="B38" s="43">
        <f t="shared" si="0"/>
        <v>403629</v>
      </c>
      <c r="C38" s="46">
        <f t="shared" si="2"/>
        <v>350000</v>
      </c>
      <c r="D38" s="46">
        <f>ROUND(Data!C32*amtpop,0)</f>
        <v>30261</v>
      </c>
      <c r="E38" s="46">
        <f>ROUND(amtpov*Data!F32,0)</f>
        <v>12866</v>
      </c>
      <c r="F38" s="45">
        <f>ROUND(Data!K32*$C$8,0)</f>
        <v>10502</v>
      </c>
    </row>
    <row r="39" spans="1:6" x14ac:dyDescent="0.25">
      <c r="A39" s="19" t="s">
        <v>33</v>
      </c>
      <c r="B39" s="43">
        <f t="shared" si="0"/>
        <v>2563477</v>
      </c>
      <c r="C39" s="46">
        <f t="shared" si="2"/>
        <v>350000</v>
      </c>
      <c r="D39" s="46">
        <f>ROUND(Data!C33*amtpop,0)</f>
        <v>993064</v>
      </c>
      <c r="E39" s="46">
        <f>ROUND(amtpov*Data!F33,0)</f>
        <v>526749</v>
      </c>
      <c r="F39" s="45">
        <f>ROUND(Data!K33*$C$8,0)</f>
        <v>693664</v>
      </c>
    </row>
    <row r="40" spans="1:6" x14ac:dyDescent="0.25">
      <c r="A40" s="19" t="s">
        <v>34</v>
      </c>
      <c r="B40" s="43">
        <f t="shared" si="0"/>
        <v>896612</v>
      </c>
      <c r="C40" s="46">
        <f t="shared" si="2"/>
        <v>350000</v>
      </c>
      <c r="D40" s="46">
        <f>ROUND(Data!C34*amtpop,0)</f>
        <v>312150</v>
      </c>
      <c r="E40" s="46">
        <f>ROUND(amtpov*Data!F34,0)</f>
        <v>97242</v>
      </c>
      <c r="F40" s="45">
        <f>ROUND(Data!K34*$C$8,0)</f>
        <v>137220</v>
      </c>
    </row>
    <row r="41" spans="1:6" x14ac:dyDescent="0.25">
      <c r="A41" s="19" t="s">
        <v>35</v>
      </c>
      <c r="B41" s="43">
        <f t="shared" si="0"/>
        <v>690079</v>
      </c>
      <c r="C41" s="46">
        <f t="shared" si="2"/>
        <v>350000</v>
      </c>
      <c r="D41" s="46">
        <f>ROUND(Data!C35*amtpop,0)</f>
        <v>219273</v>
      </c>
      <c r="E41" s="46">
        <f>ROUND(amtpov*Data!F35,0)</f>
        <v>86770</v>
      </c>
      <c r="F41" s="45">
        <f>ROUND(Data!K35*$C$8,0)</f>
        <v>34036</v>
      </c>
    </row>
    <row r="42" spans="1:6" x14ac:dyDescent="0.25">
      <c r="A42" s="19" t="s">
        <v>36</v>
      </c>
      <c r="B42" s="43">
        <f t="shared" si="0"/>
        <v>13351733</v>
      </c>
      <c r="C42" s="46">
        <f t="shared" si="2"/>
        <v>350000</v>
      </c>
      <c r="D42" s="46">
        <f>ROUND(Data!C36*amtpop,0)</f>
        <v>7180538</v>
      </c>
      <c r="E42" s="46">
        <f>ROUND(amtpov*Data!F36,0)</f>
        <v>2871686</v>
      </c>
      <c r="F42" s="45">
        <f>ROUND(Data!K36*$C$8,0)</f>
        <v>2949509</v>
      </c>
    </row>
    <row r="43" spans="1:6" ht="17.25" x14ac:dyDescent="0.25">
      <c r="A43" s="19" t="s">
        <v>88</v>
      </c>
      <c r="B43" s="43">
        <f t="shared" ref="B43:B71" si="3">SUM(C43:F43)</f>
        <v>1033025</v>
      </c>
      <c r="C43" s="46">
        <f t="shared" si="2"/>
        <v>350000</v>
      </c>
      <c r="D43" s="46">
        <f>ROUND(Data!C37*amtpop,0)</f>
        <v>325904</v>
      </c>
      <c r="E43" s="46">
        <f>ROUND(amtpov*Data!F37,0)</f>
        <v>198936</v>
      </c>
      <c r="F43" s="45">
        <f>ROUND(Data!K37*$C$8,0)</f>
        <v>158185</v>
      </c>
    </row>
    <row r="44" spans="1:6" x14ac:dyDescent="0.25">
      <c r="A44" s="19" t="s">
        <v>38</v>
      </c>
      <c r="B44" s="43">
        <f t="shared" si="3"/>
        <v>1661462</v>
      </c>
      <c r="C44" s="46">
        <f t="shared" ref="C44:C71" si="4">$B$4</f>
        <v>350000</v>
      </c>
      <c r="D44" s="46">
        <f>ROUND(Data!C38*amtpop,0)</f>
        <v>894450</v>
      </c>
      <c r="E44" s="46">
        <f>ROUND(amtpov*Data!F38,0)</f>
        <v>248517</v>
      </c>
      <c r="F44" s="45">
        <f>ROUND(Data!K38*$C$8,0)</f>
        <v>168495</v>
      </c>
    </row>
    <row r="45" spans="1:6" x14ac:dyDescent="0.25">
      <c r="A45" s="19" t="s">
        <v>39</v>
      </c>
      <c r="B45" s="43">
        <f t="shared" si="3"/>
        <v>420397</v>
      </c>
      <c r="C45" s="46">
        <f t="shared" si="4"/>
        <v>350000</v>
      </c>
      <c r="D45" s="46">
        <f>ROUND(Data!C39*amtpop,0)</f>
        <v>41060</v>
      </c>
      <c r="E45" s="46">
        <f>ROUND(amtpov*Data!F39,0)</f>
        <v>22817</v>
      </c>
      <c r="F45" s="45">
        <f>ROUND(Data!K39*$C$8,0)</f>
        <v>6520</v>
      </c>
    </row>
    <row r="46" spans="1:6" x14ac:dyDescent="0.25">
      <c r="A46" s="3" t="s">
        <v>40</v>
      </c>
      <c r="B46" s="43">
        <f t="shared" si="3"/>
        <v>11782061</v>
      </c>
      <c r="C46" s="44">
        <f t="shared" si="4"/>
        <v>350000</v>
      </c>
      <c r="D46" s="44">
        <f>ROUND(Data!C40*amtpop,0)</f>
        <v>5511817</v>
      </c>
      <c r="E46" s="44">
        <f>ROUND(amtpov*Data!F40,0)</f>
        <v>2621981</v>
      </c>
      <c r="F46" s="45">
        <f>ROUND(Data!K40*$C$8,0)</f>
        <v>3298263</v>
      </c>
    </row>
    <row r="47" spans="1:6" x14ac:dyDescent="0.25">
      <c r="A47" s="3" t="s">
        <v>41</v>
      </c>
      <c r="B47" s="43">
        <f t="shared" si="3"/>
        <v>7072450</v>
      </c>
      <c r="C47" s="44">
        <f t="shared" si="4"/>
        <v>350000</v>
      </c>
      <c r="D47" s="44">
        <f>ROUND(Data!C41*amtpop,0)</f>
        <v>3515615</v>
      </c>
      <c r="E47" s="44">
        <f>ROUND(amtpov*Data!F41,0)</f>
        <v>1864783</v>
      </c>
      <c r="F47" s="45">
        <f>ROUND(Data!K41*$C$8,0)</f>
        <v>1342052</v>
      </c>
    </row>
    <row r="48" spans="1:6" x14ac:dyDescent="0.25">
      <c r="A48" s="3" t="s">
        <v>42</v>
      </c>
      <c r="B48" s="43">
        <f t="shared" si="3"/>
        <v>647267</v>
      </c>
      <c r="C48" s="44">
        <f t="shared" si="4"/>
        <v>350000</v>
      </c>
      <c r="D48" s="44">
        <f>ROUND(Data!C42*amtpop,0)</f>
        <v>141298</v>
      </c>
      <c r="E48" s="44">
        <f>ROUND(amtpov*Data!F42,0)</f>
        <v>61862</v>
      </c>
      <c r="F48" s="45">
        <f>ROUND(Data!K42*$C$8,0)</f>
        <v>94107</v>
      </c>
    </row>
    <row r="49" spans="1:6" x14ac:dyDescent="0.25">
      <c r="A49" s="3" t="s">
        <v>43</v>
      </c>
      <c r="B49" s="43">
        <f t="shared" si="3"/>
        <v>11284416</v>
      </c>
      <c r="C49" s="44">
        <f t="shared" si="4"/>
        <v>350000</v>
      </c>
      <c r="D49" s="44">
        <f>ROUND(Data!C43*amtpop,0)</f>
        <v>4915050</v>
      </c>
      <c r="E49" s="44">
        <f>ROUND(amtpov*Data!F43,0)</f>
        <v>2751921</v>
      </c>
      <c r="F49" s="45">
        <f>ROUND(Data!K43*$C$8,0)</f>
        <v>3267445</v>
      </c>
    </row>
    <row r="50" spans="1:6" x14ac:dyDescent="0.25">
      <c r="A50" s="3" t="s">
        <v>44</v>
      </c>
      <c r="B50" s="43">
        <f t="shared" si="3"/>
        <v>14356108</v>
      </c>
      <c r="C50" s="44">
        <f t="shared" si="4"/>
        <v>350000</v>
      </c>
      <c r="D50" s="44">
        <f>ROUND(Data!C44*amtpop,0)</f>
        <v>7543551</v>
      </c>
      <c r="E50" s="44">
        <f>ROUND(amtpov*Data!F44,0)</f>
        <v>3270916</v>
      </c>
      <c r="F50" s="45">
        <f>ROUND(Data!K44*$C$8,0)</f>
        <v>3191641</v>
      </c>
    </row>
    <row r="51" spans="1:6" x14ac:dyDescent="0.25">
      <c r="A51" s="3" t="s">
        <v>45</v>
      </c>
      <c r="B51" s="43">
        <f t="shared" si="3"/>
        <v>3639888</v>
      </c>
      <c r="C51" s="44">
        <f t="shared" si="4"/>
        <v>350000</v>
      </c>
      <c r="D51" s="44">
        <f>ROUND(Data!C45*amtpop,0)</f>
        <v>2025083</v>
      </c>
      <c r="E51" s="44">
        <f>ROUND(amtpov*Data!F45,0)</f>
        <v>809884</v>
      </c>
      <c r="F51" s="45">
        <f>ROUND(Data!K45*$C$8,0)</f>
        <v>454921</v>
      </c>
    </row>
    <row r="52" spans="1:6" x14ac:dyDescent="0.25">
      <c r="A52" s="3" t="s">
        <v>46</v>
      </c>
      <c r="B52" s="43">
        <f t="shared" si="3"/>
        <v>4031505</v>
      </c>
      <c r="C52" s="44">
        <f t="shared" si="4"/>
        <v>350000</v>
      </c>
      <c r="D52" s="44">
        <f>ROUND(Data!C46*amtpop,0)</f>
        <v>1746436</v>
      </c>
      <c r="E52" s="44">
        <f>ROUND(amtpov*Data!F46,0)</f>
        <v>999880</v>
      </c>
      <c r="F52" s="45">
        <f>ROUND(Data!K46*$C$8,0)</f>
        <v>935189</v>
      </c>
    </row>
    <row r="53" spans="1:6" x14ac:dyDescent="0.25">
      <c r="A53" s="3" t="s">
        <v>47</v>
      </c>
      <c r="B53" s="43">
        <f t="shared" si="3"/>
        <v>1459610</v>
      </c>
      <c r="C53" s="44">
        <f t="shared" si="4"/>
        <v>350000</v>
      </c>
      <c r="D53" s="44">
        <f>ROUND(Data!C47*amtpop,0)</f>
        <v>621441</v>
      </c>
      <c r="E53" s="44">
        <f>ROUND(amtpov*Data!F47,0)</f>
        <v>303469</v>
      </c>
      <c r="F53" s="45">
        <f>ROUND(Data!K47*$C$8,0)</f>
        <v>184700</v>
      </c>
    </row>
    <row r="54" spans="1:6" x14ac:dyDescent="0.25">
      <c r="A54" s="3" t="s">
        <v>48</v>
      </c>
      <c r="B54" s="43">
        <f t="shared" si="3"/>
        <v>3141653</v>
      </c>
      <c r="C54" s="44">
        <f t="shared" si="4"/>
        <v>350000</v>
      </c>
      <c r="D54" s="44">
        <f>ROUND(Data!C48*amtpop,0)</f>
        <v>1744330</v>
      </c>
      <c r="E54" s="44">
        <f>ROUND(amtpov*Data!F48,0)</f>
        <v>447935</v>
      </c>
      <c r="F54" s="45">
        <f>ROUND(Data!K48*$C$8,0)</f>
        <v>599388</v>
      </c>
    </row>
    <row r="55" spans="1:6" x14ac:dyDescent="0.25">
      <c r="A55" s="3" t="s">
        <v>49</v>
      </c>
      <c r="B55" s="43">
        <f t="shared" si="3"/>
        <v>2433999</v>
      </c>
      <c r="C55" s="44">
        <f t="shared" si="4"/>
        <v>350000</v>
      </c>
      <c r="D55" s="44">
        <f>ROUND(Data!C49*amtpop,0)</f>
        <v>1015655</v>
      </c>
      <c r="E55" s="44">
        <f>ROUND(amtpov*Data!F49,0)</f>
        <v>513079</v>
      </c>
      <c r="F55" s="45">
        <f>ROUND(Data!K49*$C$8,0)</f>
        <v>555265</v>
      </c>
    </row>
    <row r="56" spans="1:6" x14ac:dyDescent="0.25">
      <c r="A56" s="3" t="s">
        <v>50</v>
      </c>
      <c r="B56" s="43">
        <f t="shared" si="3"/>
        <v>7296326</v>
      </c>
      <c r="C56" s="44">
        <f t="shared" si="4"/>
        <v>350000</v>
      </c>
      <c r="D56" s="44">
        <f>ROUND(Data!C50*amtpop,0)</f>
        <v>4415782</v>
      </c>
      <c r="E56" s="44">
        <f>ROUND(amtpov*Data!F50,0)</f>
        <v>1133950</v>
      </c>
      <c r="F56" s="45">
        <f>ROUND(Data!K50*$C$8,0)</f>
        <v>1396594</v>
      </c>
    </row>
    <row r="57" spans="1:6" x14ac:dyDescent="0.25">
      <c r="A57" s="3" t="s">
        <v>51</v>
      </c>
      <c r="B57" s="43">
        <f t="shared" si="3"/>
        <v>1475452</v>
      </c>
      <c r="C57" s="44">
        <f t="shared" si="4"/>
        <v>350000</v>
      </c>
      <c r="D57" s="44">
        <f>ROUND(Data!C51*amtpop,0)</f>
        <v>607749</v>
      </c>
      <c r="E57" s="44">
        <f>ROUND(amtpov*Data!F51,0)</f>
        <v>271198</v>
      </c>
      <c r="F57" s="45">
        <f>ROUND(Data!K51*$C$8,0)</f>
        <v>246505</v>
      </c>
    </row>
    <row r="58" spans="1:6" x14ac:dyDescent="0.25">
      <c r="A58" s="3" t="s">
        <v>52</v>
      </c>
      <c r="B58" s="43">
        <f t="shared" si="3"/>
        <v>1031180</v>
      </c>
      <c r="C58" s="44">
        <f t="shared" si="4"/>
        <v>350000</v>
      </c>
      <c r="D58" s="44">
        <f>ROUND(Data!C52*amtpop,0)</f>
        <v>399872</v>
      </c>
      <c r="E58" s="44">
        <f>ROUND(amtpov*Data!F52,0)</f>
        <v>223887</v>
      </c>
      <c r="F58" s="45">
        <f>ROUND(Data!K52*$C$8,0)</f>
        <v>57421</v>
      </c>
    </row>
    <row r="59" spans="1:6" x14ac:dyDescent="0.25">
      <c r="A59" s="3" t="s">
        <v>53</v>
      </c>
      <c r="B59" s="43">
        <f t="shared" si="3"/>
        <v>362059</v>
      </c>
      <c r="C59" s="44">
        <f t="shared" si="4"/>
        <v>350000</v>
      </c>
      <c r="D59" s="44">
        <f>ROUND(Data!C53*amtpop,0)</f>
        <v>7014</v>
      </c>
      <c r="E59" s="44">
        <f>ROUND(amtpov*Data!F53,0)</f>
        <v>3750</v>
      </c>
      <c r="F59" s="45">
        <f>ROUND(Data!K53*$C$8,0)</f>
        <v>1295</v>
      </c>
    </row>
    <row r="60" spans="1:6" x14ac:dyDescent="0.25">
      <c r="A60" s="3" t="s">
        <v>54</v>
      </c>
      <c r="B60" s="43">
        <f t="shared" si="3"/>
        <v>538801</v>
      </c>
      <c r="C60" s="44">
        <f t="shared" si="4"/>
        <v>350000</v>
      </c>
      <c r="D60" s="44">
        <f>ROUND(Data!C54*amtpop,0)</f>
        <v>98548</v>
      </c>
      <c r="E60" s="44">
        <f>ROUND(amtpov*Data!F54,0)</f>
        <v>72186</v>
      </c>
      <c r="F60" s="45">
        <f>ROUND(Data!K54*$C$8,0)</f>
        <v>18067</v>
      </c>
    </row>
    <row r="61" spans="1:6" x14ac:dyDescent="0.25">
      <c r="A61" s="3" t="s">
        <v>55</v>
      </c>
      <c r="B61" s="43">
        <f t="shared" si="3"/>
        <v>2186187</v>
      </c>
      <c r="C61" s="44">
        <f t="shared" si="4"/>
        <v>350000</v>
      </c>
      <c r="D61" s="44">
        <f>ROUND(Data!C55*amtpop,0)</f>
        <v>990606</v>
      </c>
      <c r="E61" s="44">
        <f>ROUND(amtpov*Data!F55,0)</f>
        <v>375318</v>
      </c>
      <c r="F61" s="45">
        <f>ROUND(Data!K55*$C$8,0)</f>
        <v>470263</v>
      </c>
    </row>
    <row r="62" spans="1:6" x14ac:dyDescent="0.25">
      <c r="A62" s="3" t="s">
        <v>56</v>
      </c>
      <c r="B62" s="43">
        <f t="shared" si="3"/>
        <v>2174091</v>
      </c>
      <c r="C62" s="44">
        <f t="shared" si="4"/>
        <v>350000</v>
      </c>
      <c r="D62" s="44">
        <f>ROUND(Data!C56*amtpop,0)</f>
        <v>1105231</v>
      </c>
      <c r="E62" s="44">
        <f>ROUND(amtpov*Data!F56,0)</f>
        <v>334998</v>
      </c>
      <c r="F62" s="45">
        <f>ROUND(Data!K56*$C$8,0)</f>
        <v>383862</v>
      </c>
    </row>
    <row r="63" spans="1:6" x14ac:dyDescent="0.25">
      <c r="A63" s="3" t="s">
        <v>57</v>
      </c>
      <c r="B63" s="43">
        <f t="shared" si="3"/>
        <v>2975808</v>
      </c>
      <c r="C63" s="44">
        <f t="shared" si="4"/>
        <v>350000</v>
      </c>
      <c r="D63" s="44">
        <f>ROUND(Data!C57*amtpop,0)</f>
        <v>1251102</v>
      </c>
      <c r="E63" s="44">
        <f>ROUND(amtpov*Data!F57,0)</f>
        <v>684687</v>
      </c>
      <c r="F63" s="45">
        <f>ROUND(Data!K57*$C$8,0)</f>
        <v>690019</v>
      </c>
    </row>
    <row r="64" spans="1:6" x14ac:dyDescent="0.25">
      <c r="A64" s="3" t="s">
        <v>58</v>
      </c>
      <c r="B64" s="43">
        <f t="shared" si="3"/>
        <v>787927</v>
      </c>
      <c r="C64" s="44">
        <f t="shared" si="4"/>
        <v>350000</v>
      </c>
      <c r="D64" s="44">
        <f>ROUND(Data!C58*amtpop,0)</f>
        <v>227647</v>
      </c>
      <c r="E64" s="44">
        <f>ROUND(amtpov*Data!F58,0)</f>
        <v>122667</v>
      </c>
      <c r="F64" s="45">
        <f>ROUND(Data!K58*$C$8,0)</f>
        <v>87613</v>
      </c>
    </row>
    <row r="65" spans="1:8" x14ac:dyDescent="0.25">
      <c r="A65" s="3" t="s">
        <v>59</v>
      </c>
      <c r="B65" s="43">
        <f t="shared" si="3"/>
        <v>642801</v>
      </c>
      <c r="C65" s="44">
        <f t="shared" si="4"/>
        <v>350000</v>
      </c>
      <c r="D65" s="44">
        <f>ROUND(Data!C59*amtpop,0)</f>
        <v>146872</v>
      </c>
      <c r="E65" s="44">
        <f>ROUND(amtpov*Data!F59,0)</f>
        <v>100782</v>
      </c>
      <c r="F65" s="45">
        <f>ROUND(Data!K59*$C$8,0)</f>
        <v>45147</v>
      </c>
    </row>
    <row r="66" spans="1:8" x14ac:dyDescent="0.25">
      <c r="A66" s="3" t="s">
        <v>60</v>
      </c>
      <c r="B66" s="43">
        <f t="shared" si="3"/>
        <v>405254</v>
      </c>
      <c r="C66" s="44">
        <f t="shared" si="4"/>
        <v>350000</v>
      </c>
      <c r="D66" s="44">
        <f>ROUND(Data!C60*amtpop,0)</f>
        <v>29910</v>
      </c>
      <c r="E66" s="44">
        <f>ROUND(amtpov*Data!F60,0)</f>
        <v>20775</v>
      </c>
      <c r="F66" s="45">
        <f>ROUND(Data!K60*$C$8,0)</f>
        <v>4569</v>
      </c>
    </row>
    <row r="67" spans="1:8" x14ac:dyDescent="0.25">
      <c r="A67" s="3" t="s">
        <v>61</v>
      </c>
      <c r="B67" s="43">
        <f t="shared" si="3"/>
        <v>3085604</v>
      </c>
      <c r="C67" s="44">
        <f t="shared" si="4"/>
        <v>350000</v>
      </c>
      <c r="D67" s="44">
        <f>ROUND(Data!C61*amtpop,0)</f>
        <v>1081949</v>
      </c>
      <c r="E67" s="44">
        <f>ROUND(amtpov*Data!F61,0)</f>
        <v>860845</v>
      </c>
      <c r="F67" s="45">
        <f>ROUND(Data!K61*$C$8,0)</f>
        <v>792810</v>
      </c>
    </row>
    <row r="68" spans="1:8" x14ac:dyDescent="0.25">
      <c r="A68" s="3" t="s">
        <v>62</v>
      </c>
      <c r="B68" s="43">
        <f t="shared" si="3"/>
        <v>543960</v>
      </c>
      <c r="C68" s="44">
        <f t="shared" si="4"/>
        <v>350000</v>
      </c>
      <c r="D68" s="44">
        <f>ROUND(Data!C62*amtpop,0)</f>
        <v>117813</v>
      </c>
      <c r="E68" s="44">
        <f>ROUND(amtpov*Data!F62,0)</f>
        <v>56044</v>
      </c>
      <c r="F68" s="45">
        <f>ROUND(Data!K62*$C$8,0)</f>
        <v>20103</v>
      </c>
    </row>
    <row r="69" spans="1:8" x14ac:dyDescent="0.25">
      <c r="A69" s="3" t="s">
        <v>63</v>
      </c>
      <c r="B69" s="43">
        <f t="shared" si="3"/>
        <v>3857269</v>
      </c>
      <c r="C69" s="44">
        <f t="shared" si="4"/>
        <v>350000</v>
      </c>
      <c r="D69" s="44">
        <f>ROUND(Data!C63*amtpop,0)</f>
        <v>1893545</v>
      </c>
      <c r="E69" s="44">
        <f>ROUND(amtpov*Data!F63,0)</f>
        <v>653651</v>
      </c>
      <c r="F69" s="45">
        <f>ROUND(Data!K63*$C$8,0)</f>
        <v>960073</v>
      </c>
    </row>
    <row r="70" spans="1:8" x14ac:dyDescent="0.25">
      <c r="A70" s="3" t="s">
        <v>64</v>
      </c>
      <c r="B70" s="43">
        <f t="shared" si="3"/>
        <v>1397659</v>
      </c>
      <c r="C70" s="44">
        <f t="shared" si="4"/>
        <v>350000</v>
      </c>
      <c r="D70" s="44">
        <f>ROUND(Data!C64*amtpop,0)</f>
        <v>498946</v>
      </c>
      <c r="E70" s="44">
        <f>ROUND(amtpov*Data!F64,0)</f>
        <v>354974</v>
      </c>
      <c r="F70" s="45">
        <f>ROUND(Data!K64*$C$8,0)</f>
        <v>193739</v>
      </c>
    </row>
    <row r="71" spans="1:8" x14ac:dyDescent="0.25">
      <c r="A71" s="3" t="s">
        <v>65</v>
      </c>
      <c r="B71" s="43">
        <f t="shared" si="3"/>
        <v>707793</v>
      </c>
      <c r="C71" s="44">
        <f t="shared" si="4"/>
        <v>350000</v>
      </c>
      <c r="D71" s="44">
        <f>ROUND(Data!C65*amtpop,0)</f>
        <v>177979</v>
      </c>
      <c r="E71" s="44">
        <f>ROUND(amtpov*Data!F65,0)</f>
        <v>113886</v>
      </c>
      <c r="F71" s="45">
        <f>ROUND(Data!K65*$C$8,0)</f>
        <v>65928</v>
      </c>
    </row>
    <row r="72" spans="1:8" x14ac:dyDescent="0.25">
      <c r="A72" s="31"/>
      <c r="B72" s="47"/>
      <c r="C72" s="48"/>
      <c r="D72" s="48"/>
      <c r="E72" s="48"/>
      <c r="F72" s="49"/>
    </row>
    <row r="73" spans="1:8" s="25" customFormat="1" x14ac:dyDescent="0.25">
      <c r="A73" s="9" t="s">
        <v>66</v>
      </c>
      <c r="B73" s="54">
        <f>SUM(B11:B71)</f>
        <v>200400002</v>
      </c>
      <c r="C73" s="50">
        <f t="shared" ref="C73:F73" si="5">SUM(C11:C71)</f>
        <v>21350000</v>
      </c>
      <c r="D73" s="50">
        <f t="shared" si="5"/>
        <v>89524999</v>
      </c>
      <c r="E73" s="50">
        <f t="shared" si="5"/>
        <v>44762502</v>
      </c>
      <c r="F73" s="50">
        <f t="shared" si="5"/>
        <v>44762501</v>
      </c>
    </row>
    <row r="74" spans="1:8" s="25" customFormat="1" x14ac:dyDescent="0.25">
      <c r="A74" s="26" t="s">
        <v>67</v>
      </c>
      <c r="B74" s="51">
        <f t="array" ref="B74">MIN(IF($B$11:$B$71&lt;&gt;0,$B$11:$B$71))</f>
        <v>354669</v>
      </c>
      <c r="C74" s="52"/>
      <c r="D74" s="52"/>
      <c r="E74" s="52"/>
      <c r="F74" s="53"/>
    </row>
    <row r="75" spans="1:8" s="25" customFormat="1" x14ac:dyDescent="0.25">
      <c r="A75" s="26" t="s">
        <v>68</v>
      </c>
      <c r="B75" s="51">
        <f>MAX(B11:B71)</f>
        <v>47328333</v>
      </c>
      <c r="C75" s="52"/>
      <c r="D75" s="52"/>
      <c r="E75" s="52"/>
      <c r="F75" s="53"/>
    </row>
    <row r="76" spans="1:8" x14ac:dyDescent="0.25">
      <c r="C76" s="24"/>
      <c r="D76" s="24"/>
      <c r="E76" s="24"/>
    </row>
    <row r="77" spans="1:8" x14ac:dyDescent="0.25">
      <c r="A77" t="s">
        <v>89</v>
      </c>
    </row>
    <row r="78" spans="1:8" ht="15" customHeight="1" x14ac:dyDescent="0.25">
      <c r="A78" s="39" t="s">
        <v>70</v>
      </c>
      <c r="B78" s="39"/>
      <c r="C78" s="39"/>
      <c r="D78" s="39"/>
      <c r="E78" s="39"/>
      <c r="F78" s="39"/>
      <c r="G78" s="39"/>
      <c r="H78" s="39"/>
    </row>
  </sheetData>
  <sheetProtection sheet="1" formatCells="0" formatColumns="0" formatRows="0" insertColumns="0" insertRows="0" insertHyperlinks="0" deleteColumns="0" deleteRows="0"/>
  <pageMargins left="0.45" right="0.45" top="0.5" bottom="0.5" header="0.3" footer="0.3"/>
  <pageSetup scale="80" orientation="portrait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A3" sqref="A3"/>
    </sheetView>
  </sheetViews>
  <sheetFormatPr defaultRowHeight="15" x14ac:dyDescent="0.25"/>
  <cols>
    <col min="1" max="1" width="18.7109375" customWidth="1"/>
    <col min="2" max="3" width="14.5703125" customWidth="1"/>
    <col min="4" max="4" width="15.85546875" customWidth="1"/>
    <col min="5" max="5" width="18.42578125" bestFit="1" customWidth="1"/>
    <col min="6" max="6" width="17.42578125" customWidth="1"/>
    <col min="7" max="7" width="13.28515625" bestFit="1" customWidth="1"/>
    <col min="8" max="8" width="14.28515625" bestFit="1" customWidth="1"/>
    <col min="9" max="9" width="16.140625" customWidth="1"/>
    <col min="10" max="10" width="13.5703125" customWidth="1"/>
    <col min="11" max="11" width="14.85546875" customWidth="1"/>
  </cols>
  <sheetData>
    <row r="1" spans="1:11" x14ac:dyDescent="0.25">
      <c r="A1" s="1" t="s">
        <v>90</v>
      </c>
    </row>
    <row r="3" spans="1:11" s="74" customFormat="1" ht="90" x14ac:dyDescent="0.25">
      <c r="A3" s="72" t="s">
        <v>91</v>
      </c>
      <c r="B3" s="73" t="s">
        <v>92</v>
      </c>
      <c r="C3" s="72" t="s">
        <v>93</v>
      </c>
      <c r="D3" s="72" t="s">
        <v>94</v>
      </c>
      <c r="E3" s="72" t="s">
        <v>95</v>
      </c>
      <c r="F3" s="72" t="s">
        <v>96</v>
      </c>
      <c r="G3" s="72" t="s">
        <v>97</v>
      </c>
      <c r="H3" s="72" t="s">
        <v>98</v>
      </c>
      <c r="I3" s="72" t="s">
        <v>99</v>
      </c>
      <c r="J3" s="72" t="s">
        <v>100</v>
      </c>
      <c r="K3" s="72" t="s">
        <v>101</v>
      </c>
    </row>
    <row r="4" spans="1:11" s="76" customFormat="1" ht="59.25" customHeight="1" x14ac:dyDescent="0.25">
      <c r="A4" s="75" t="s">
        <v>102</v>
      </c>
      <c r="B4" s="75" t="s">
        <v>103</v>
      </c>
      <c r="C4" s="75" t="s">
        <v>104</v>
      </c>
      <c r="D4" s="75" t="s">
        <v>105</v>
      </c>
      <c r="E4" s="75" t="s">
        <v>106</v>
      </c>
      <c r="F4" s="75" t="s">
        <v>107</v>
      </c>
      <c r="G4" s="75" t="s">
        <v>103</v>
      </c>
      <c r="H4" s="75" t="s">
        <v>103</v>
      </c>
      <c r="I4" s="75" t="s">
        <v>103</v>
      </c>
      <c r="J4" s="75" t="s">
        <v>103</v>
      </c>
      <c r="K4" s="75" t="s">
        <v>108</v>
      </c>
    </row>
    <row r="5" spans="1:11" ht="17.25" x14ac:dyDescent="0.25">
      <c r="A5" s="3" t="s">
        <v>85</v>
      </c>
      <c r="B5" s="11">
        <v>1549211.57657796</v>
      </c>
      <c r="C5" s="7">
        <f>B5/$B$66</f>
        <v>3.8942104788871078E-2</v>
      </c>
      <c r="D5" s="78">
        <v>8.8999999999999996E-2</v>
      </c>
      <c r="E5" s="6">
        <f>B5*D5</f>
        <v>137879.83031543845</v>
      </c>
      <c r="F5" s="7">
        <f>E5/$E$66</f>
        <v>2.9180704551017927E-2</v>
      </c>
      <c r="G5" s="79">
        <v>184020.27287776201</v>
      </c>
      <c r="H5" s="79">
        <v>363799.59146472299</v>
      </c>
      <c r="I5" s="79">
        <v>12763.117979176601</v>
      </c>
      <c r="J5" s="8">
        <f t="shared" ref="J5:J36" si="0">G5+H5+I5</f>
        <v>560582.98232166155</v>
      </c>
      <c r="K5" s="7">
        <f>J5/$J$66</f>
        <v>3.1161830302185389E-2</v>
      </c>
    </row>
    <row r="6" spans="1:11" x14ac:dyDescent="0.25">
      <c r="A6" s="3" t="s">
        <v>6</v>
      </c>
      <c r="B6" s="11">
        <v>1115</v>
      </c>
      <c r="C6" s="7">
        <f t="shared" ref="C6:C65" si="1">B6/$B$66</f>
        <v>2.8027447958723817E-5</v>
      </c>
      <c r="D6" s="78">
        <v>0.17199999999999999</v>
      </c>
      <c r="E6" s="6">
        <f t="shared" ref="E6:E65" si="2">B6*D6</f>
        <v>191.77999999999997</v>
      </c>
      <c r="F6" s="7">
        <f t="shared" ref="F6:F66" si="3">E6/$E$66</f>
        <v>4.0588065027286302E-5</v>
      </c>
      <c r="G6" s="79">
        <v>14.973142345568499</v>
      </c>
      <c r="H6" s="79">
        <v>122.779767233661</v>
      </c>
      <c r="I6" s="79">
        <v>0</v>
      </c>
      <c r="J6" s="8">
        <f t="shared" si="0"/>
        <v>137.75290957922951</v>
      </c>
      <c r="K6" s="7">
        <f t="shared" ref="K6:K65" si="4">J6/$J$66</f>
        <v>7.6574439954674412E-6</v>
      </c>
    </row>
    <row r="7" spans="1:11" x14ac:dyDescent="0.25">
      <c r="A7" s="3" t="s">
        <v>7</v>
      </c>
      <c r="B7" s="11">
        <v>37576.999999999498</v>
      </c>
      <c r="C7" s="7">
        <f t="shared" si="1"/>
        <v>9.4456270129592002E-4</v>
      </c>
      <c r="D7" s="78">
        <v>9.8000000000000004E-2</v>
      </c>
      <c r="E7" s="6">
        <f t="shared" si="2"/>
        <v>3682.5459999999512</v>
      </c>
      <c r="F7" s="7">
        <f t="shared" si="3"/>
        <v>7.793691548335129E-4</v>
      </c>
      <c r="G7" s="79">
        <v>1325.3521320495199</v>
      </c>
      <c r="H7" s="79">
        <v>5799.7565337001497</v>
      </c>
      <c r="I7" s="79">
        <v>121.905089408528</v>
      </c>
      <c r="J7" s="8">
        <f t="shared" si="0"/>
        <v>7247.0137551581975</v>
      </c>
      <c r="K7" s="7">
        <f t="shared" si="4"/>
        <v>4.0284885549069714E-4</v>
      </c>
    </row>
    <row r="8" spans="1:11" x14ac:dyDescent="0.25">
      <c r="A8" s="3" t="s">
        <v>8</v>
      </c>
      <c r="B8" s="11">
        <v>122654.90521500001</v>
      </c>
      <c r="C8" s="7">
        <f t="shared" si="1"/>
        <v>3.0831425764983097E-3</v>
      </c>
      <c r="D8" s="78">
        <v>0.192</v>
      </c>
      <c r="E8" s="6">
        <f t="shared" si="2"/>
        <v>23549.741801280001</v>
      </c>
      <c r="F8" s="7">
        <f t="shared" si="3"/>
        <v>4.9840361435298536E-3</v>
      </c>
      <c r="G8" s="79">
        <v>11871.094752377399</v>
      </c>
      <c r="H8" s="79">
        <v>13301.5965337532</v>
      </c>
      <c r="I8" s="79">
        <v>185.21348273716501</v>
      </c>
      <c r="J8" s="8">
        <f t="shared" si="0"/>
        <v>25357.904768867764</v>
      </c>
      <c r="K8" s="7">
        <f t="shared" si="4"/>
        <v>1.4096017006328249E-3</v>
      </c>
    </row>
    <row r="9" spans="1:11" x14ac:dyDescent="0.25">
      <c r="A9" s="3" t="s">
        <v>9</v>
      </c>
      <c r="B9" s="11">
        <v>206361.99999999901</v>
      </c>
      <c r="C9" s="7">
        <f t="shared" si="1"/>
        <v>5.187264767406401E-3</v>
      </c>
      <c r="D9" s="78">
        <v>0.161</v>
      </c>
      <c r="E9" s="6">
        <f t="shared" si="2"/>
        <v>33224.281999999839</v>
      </c>
      <c r="F9" s="7">
        <f t="shared" si="3"/>
        <v>7.031543009181831E-3</v>
      </c>
      <c r="G9" s="79">
        <v>3545.0419573033801</v>
      </c>
      <c r="H9" s="79">
        <v>34400.457934784099</v>
      </c>
      <c r="I9" s="79">
        <v>331.66658247959998</v>
      </c>
      <c r="J9" s="8">
        <f t="shared" si="0"/>
        <v>38277.166474567079</v>
      </c>
      <c r="K9" s="7">
        <f t="shared" si="4"/>
        <v>2.1277609270067715E-3</v>
      </c>
    </row>
    <row r="10" spans="1:11" x14ac:dyDescent="0.25">
      <c r="A10" s="3" t="s">
        <v>10</v>
      </c>
      <c r="B10" s="11">
        <v>44286</v>
      </c>
      <c r="C10" s="7">
        <f t="shared" si="1"/>
        <v>1.1132049868161822E-3</v>
      </c>
      <c r="D10" s="78">
        <v>0.121</v>
      </c>
      <c r="E10" s="6">
        <f t="shared" si="2"/>
        <v>5358.6059999999998</v>
      </c>
      <c r="F10" s="7">
        <f t="shared" si="3"/>
        <v>1.134088271892828E-3</v>
      </c>
      <c r="G10" s="79">
        <v>607.95881595881599</v>
      </c>
      <c r="H10" s="79">
        <v>5500.62737925896</v>
      </c>
      <c r="I10" s="79">
        <v>105.992819887557</v>
      </c>
      <c r="J10" s="8">
        <f t="shared" si="0"/>
        <v>6214.5790151053325</v>
      </c>
      <c r="K10" s="7">
        <f t="shared" si="4"/>
        <v>3.4545760890956613E-4</v>
      </c>
    </row>
    <row r="11" spans="1:11" x14ac:dyDescent="0.25">
      <c r="A11" s="3" t="s">
        <v>11</v>
      </c>
      <c r="B11" s="11">
        <v>22075</v>
      </c>
      <c r="C11" s="7">
        <f t="shared" si="1"/>
        <v>5.5489319613347826E-4</v>
      </c>
      <c r="D11" s="78">
        <v>0.12</v>
      </c>
      <c r="E11" s="6">
        <f t="shared" si="2"/>
        <v>2649</v>
      </c>
      <c r="F11" s="7">
        <f t="shared" si="3"/>
        <v>5.6063084918803543E-4</v>
      </c>
      <c r="G11" s="79">
        <v>160.23989731332699</v>
      </c>
      <c r="H11" s="79">
        <v>13732.754614261101</v>
      </c>
      <c r="I11" s="79">
        <v>50.807772318859897</v>
      </c>
      <c r="J11" s="8">
        <f t="shared" si="0"/>
        <v>13943.802283893288</v>
      </c>
      <c r="K11" s="7">
        <f t="shared" si="4"/>
        <v>7.751116502651593E-4</v>
      </c>
    </row>
    <row r="12" spans="1:11" x14ac:dyDescent="0.25">
      <c r="A12" s="3" t="s">
        <v>12</v>
      </c>
      <c r="B12" s="11">
        <v>1149800</v>
      </c>
      <c r="C12" s="7">
        <f t="shared" si="1"/>
        <v>2.890220597573152E-2</v>
      </c>
      <c r="D12" s="78">
        <v>7.9000000000000001E-2</v>
      </c>
      <c r="E12" s="6">
        <f t="shared" si="2"/>
        <v>90834.2</v>
      </c>
      <c r="F12" s="7">
        <f t="shared" si="3"/>
        <v>1.9224029702270988E-2</v>
      </c>
      <c r="G12" s="79">
        <v>107750.852987547</v>
      </c>
      <c r="H12" s="79">
        <v>307818.80236083298</v>
      </c>
      <c r="I12" s="79">
        <v>5076.52846869104</v>
      </c>
      <c r="J12" s="8">
        <f t="shared" si="0"/>
        <v>420646.18381707103</v>
      </c>
      <c r="K12" s="7">
        <f t="shared" si="4"/>
        <v>2.3382987730169877E-2</v>
      </c>
    </row>
    <row r="13" spans="1:11" x14ac:dyDescent="0.25">
      <c r="A13" s="3" t="s">
        <v>13</v>
      </c>
      <c r="B13" s="11">
        <v>27192.999999999902</v>
      </c>
      <c r="C13" s="7">
        <f t="shared" si="1"/>
        <v>6.8354295277271216E-4</v>
      </c>
      <c r="D13" s="78">
        <v>0.17899999999999999</v>
      </c>
      <c r="E13" s="6">
        <f t="shared" si="2"/>
        <v>4867.5469999999823</v>
      </c>
      <c r="F13" s="7">
        <f t="shared" si="3"/>
        <v>1.0301611959504207E-3</v>
      </c>
      <c r="G13" s="79">
        <v>1226.5367225488101</v>
      </c>
      <c r="H13" s="79">
        <v>5458.7298062268701</v>
      </c>
      <c r="I13" s="79">
        <v>58.2185572247623</v>
      </c>
      <c r="J13" s="8">
        <f t="shared" si="0"/>
        <v>6743.4850860004426</v>
      </c>
      <c r="K13" s="7">
        <f t="shared" si="4"/>
        <v>3.7485857495168532E-4</v>
      </c>
    </row>
    <row r="14" spans="1:11" x14ac:dyDescent="0.25">
      <c r="A14" s="3" t="s">
        <v>14</v>
      </c>
      <c r="B14" s="11">
        <v>192012</v>
      </c>
      <c r="C14" s="7">
        <f t="shared" si="1"/>
        <v>4.8265527690138817E-3</v>
      </c>
      <c r="D14" s="78">
        <v>8.6999999999999994E-2</v>
      </c>
      <c r="E14" s="6">
        <f t="shared" si="2"/>
        <v>16705.043999999998</v>
      </c>
      <c r="F14" s="7">
        <f t="shared" si="3"/>
        <v>3.5354333723833504E-3</v>
      </c>
      <c r="G14" s="79">
        <v>1854.5110772768201</v>
      </c>
      <c r="H14" s="79">
        <v>28096.091414722101</v>
      </c>
      <c r="I14" s="79">
        <v>308.25653295218001</v>
      </c>
      <c r="J14" s="8">
        <f t="shared" si="0"/>
        <v>30258.8590249511</v>
      </c>
      <c r="K14" s="7">
        <f t="shared" si="4"/>
        <v>1.6820372002163818E-3</v>
      </c>
    </row>
    <row r="15" spans="1:11" x14ac:dyDescent="0.25">
      <c r="A15" s="3" t="s">
        <v>15</v>
      </c>
      <c r="B15" s="11">
        <v>1026358</v>
      </c>
      <c r="C15" s="7">
        <f t="shared" si="1"/>
        <v>2.5799278414367587E-2</v>
      </c>
      <c r="D15" s="78">
        <v>0.20499999999999999</v>
      </c>
      <c r="E15" s="6">
        <f t="shared" si="2"/>
        <v>210403.38999999998</v>
      </c>
      <c r="F15" s="7">
        <f t="shared" si="3"/>
        <v>4.4529494604658888E-2</v>
      </c>
      <c r="G15" s="79">
        <v>51315.5633615474</v>
      </c>
      <c r="H15" s="79">
        <v>539513.90967490699</v>
      </c>
      <c r="I15" s="79">
        <v>1244.8814224002999</v>
      </c>
      <c r="J15" s="8">
        <f t="shared" si="0"/>
        <v>592074.35445885477</v>
      </c>
      <c r="K15" s="7">
        <f t="shared" si="4"/>
        <v>3.2912380756746101E-2</v>
      </c>
    </row>
    <row r="16" spans="1:11" x14ac:dyDescent="0.25">
      <c r="A16" s="3" t="s">
        <v>16</v>
      </c>
      <c r="B16" s="11">
        <v>29507.000000000098</v>
      </c>
      <c r="C16" s="7">
        <f t="shared" si="1"/>
        <v>7.4170933355880396E-4</v>
      </c>
      <c r="D16" s="78">
        <v>0.121</v>
      </c>
      <c r="E16" s="6">
        <f t="shared" si="2"/>
        <v>3570.3470000000116</v>
      </c>
      <c r="F16" s="7">
        <f t="shared" si="3"/>
        <v>7.556235071747683E-4</v>
      </c>
      <c r="G16" s="79">
        <v>239.28942347008299</v>
      </c>
      <c r="H16" s="79">
        <v>12658.209418018299</v>
      </c>
      <c r="I16" s="79">
        <v>20.108354913452398</v>
      </c>
      <c r="J16" s="8">
        <f t="shared" si="0"/>
        <v>12917.607196401836</v>
      </c>
      <c r="K16" s="7">
        <f t="shared" si="4"/>
        <v>7.1806725508764759E-4</v>
      </c>
    </row>
    <row r="17" spans="1:11" x14ac:dyDescent="0.25">
      <c r="A17" s="3" t="s">
        <v>17</v>
      </c>
      <c r="B17" s="11">
        <v>132706</v>
      </c>
      <c r="C17" s="7">
        <f t="shared" si="1"/>
        <v>3.3357941783052941E-3</v>
      </c>
      <c r="D17" s="78">
        <v>0.191</v>
      </c>
      <c r="E17" s="6">
        <f t="shared" si="2"/>
        <v>25346.846000000001</v>
      </c>
      <c r="F17" s="7">
        <f t="shared" si="3"/>
        <v>5.3643728943821665E-3</v>
      </c>
      <c r="G17" s="79">
        <v>2162.3186773851999</v>
      </c>
      <c r="H17" s="79">
        <v>17417.303762919699</v>
      </c>
      <c r="I17" s="79">
        <v>349.33569479037698</v>
      </c>
      <c r="J17" s="8">
        <f t="shared" si="0"/>
        <v>19928.958135095276</v>
      </c>
      <c r="K17" s="7">
        <f t="shared" si="4"/>
        <v>1.1078160256189407E-3</v>
      </c>
    </row>
    <row r="18" spans="1:11" x14ac:dyDescent="0.25">
      <c r="A18" s="3" t="s">
        <v>18</v>
      </c>
      <c r="B18" s="11">
        <v>188089.99999999901</v>
      </c>
      <c r="C18" s="7">
        <f t="shared" si="1"/>
        <v>4.7279665350281035E-3</v>
      </c>
      <c r="D18" s="78">
        <v>0.22</v>
      </c>
      <c r="E18" s="6">
        <f t="shared" si="2"/>
        <v>41379.799999999785</v>
      </c>
      <c r="F18" s="7">
        <f t="shared" si="3"/>
        <v>8.7575660299097566E-3</v>
      </c>
      <c r="G18" s="79">
        <v>4102.3756972381798</v>
      </c>
      <c r="H18" s="79">
        <v>157692.18122713899</v>
      </c>
      <c r="I18" s="79">
        <v>94.217240893508404</v>
      </c>
      <c r="J18" s="8">
        <f t="shared" si="0"/>
        <v>161888.77416527068</v>
      </c>
      <c r="K18" s="7">
        <f t="shared" si="4"/>
        <v>8.9991146136368261E-3</v>
      </c>
    </row>
    <row r="19" spans="1:11" x14ac:dyDescent="0.25">
      <c r="A19" s="3" t="s">
        <v>19</v>
      </c>
      <c r="B19" s="11">
        <v>18429</v>
      </c>
      <c r="C19" s="7">
        <f t="shared" si="1"/>
        <v>4.6324469814468272E-4</v>
      </c>
      <c r="D19" s="78">
        <v>0.11700000000000001</v>
      </c>
      <c r="E19" s="6">
        <f t="shared" si="2"/>
        <v>2156.1930000000002</v>
      </c>
      <c r="F19" s="7">
        <f t="shared" si="3"/>
        <v>4.56333828842317E-4</v>
      </c>
      <c r="G19" s="79">
        <v>250.67354901642</v>
      </c>
      <c r="H19" s="79">
        <v>4421.2422370346303</v>
      </c>
      <c r="I19" s="79">
        <v>38.9492765403999</v>
      </c>
      <c r="J19" s="8">
        <f t="shared" si="0"/>
        <v>4710.8650625914506</v>
      </c>
      <c r="K19" s="7">
        <f t="shared" si="4"/>
        <v>2.6186877284251135E-4</v>
      </c>
    </row>
    <row r="20" spans="1:11" x14ac:dyDescent="0.25">
      <c r="A20" s="3" t="s">
        <v>20</v>
      </c>
      <c r="B20" s="11">
        <v>912974.99999999895</v>
      </c>
      <c r="C20" s="7">
        <f t="shared" si="1"/>
        <v>2.2949201166023184E-2</v>
      </c>
      <c r="D20" s="78">
        <v>0.19</v>
      </c>
      <c r="E20" s="6">
        <f t="shared" si="2"/>
        <v>173465.2499999998</v>
      </c>
      <c r="F20" s="7">
        <f t="shared" si="3"/>
        <v>3.6711955610462345E-2</v>
      </c>
      <c r="G20" s="79">
        <v>54782.379339574698</v>
      </c>
      <c r="H20" s="79">
        <v>480136.210044529</v>
      </c>
      <c r="I20" s="79">
        <v>1184.4785554289001</v>
      </c>
      <c r="J20" s="8">
        <f t="shared" si="0"/>
        <v>536103.06793953257</v>
      </c>
      <c r="K20" s="7">
        <f t="shared" si="4"/>
        <v>2.9801034555891733E-2</v>
      </c>
    </row>
    <row r="21" spans="1:11" x14ac:dyDescent="0.25">
      <c r="A21" s="3" t="s">
        <v>21</v>
      </c>
      <c r="B21" s="11">
        <v>154745</v>
      </c>
      <c r="C21" s="7">
        <f t="shared" si="1"/>
        <v>3.8897824523522126E-3</v>
      </c>
      <c r="D21" s="78">
        <v>0.16</v>
      </c>
      <c r="E21" s="6">
        <f t="shared" si="2"/>
        <v>24759.200000000001</v>
      </c>
      <c r="F21" s="7">
        <f t="shared" si="3"/>
        <v>5.2400042737698778E-3</v>
      </c>
      <c r="G21" s="79">
        <v>9838.9744253534791</v>
      </c>
      <c r="H21" s="79">
        <v>86645.686411751201</v>
      </c>
      <c r="I21" s="79">
        <v>1189.93528035591</v>
      </c>
      <c r="J21" s="8">
        <f t="shared" si="0"/>
        <v>97674.596117460591</v>
      </c>
      <c r="K21" s="7">
        <f t="shared" si="4"/>
        <v>5.4295604487335685E-3</v>
      </c>
    </row>
    <row r="22" spans="1:11" x14ac:dyDescent="0.25">
      <c r="A22" s="3" t="s">
        <v>22</v>
      </c>
      <c r="B22" s="11">
        <v>63771.000000000196</v>
      </c>
      <c r="C22" s="7">
        <f t="shared" si="1"/>
        <v>1.6029940661666207E-3</v>
      </c>
      <c r="D22" s="78">
        <v>0.183</v>
      </c>
      <c r="E22" s="6">
        <f t="shared" si="2"/>
        <v>11670.093000000035</v>
      </c>
      <c r="F22" s="7">
        <f t="shared" si="3"/>
        <v>2.4698430157392855E-3</v>
      </c>
      <c r="G22" s="79">
        <v>1219.95669867891</v>
      </c>
      <c r="H22" s="79">
        <v>13708.5384069923</v>
      </c>
      <c r="I22" s="79">
        <v>89.456937614650698</v>
      </c>
      <c r="J22" s="8">
        <f t="shared" si="0"/>
        <v>15017.952043285861</v>
      </c>
      <c r="K22" s="7">
        <f t="shared" si="4"/>
        <v>8.3482176201828096E-4</v>
      </c>
    </row>
    <row r="23" spans="1:11" x14ac:dyDescent="0.25">
      <c r="A23" s="3" t="s">
        <v>23</v>
      </c>
      <c r="B23" s="11">
        <v>28871.9999999998</v>
      </c>
      <c r="C23" s="7">
        <f t="shared" si="1"/>
        <v>7.2574751342086854E-4</v>
      </c>
      <c r="D23" s="78">
        <v>0.16500000000000001</v>
      </c>
      <c r="E23" s="6">
        <f t="shared" si="2"/>
        <v>4763.8799999999674</v>
      </c>
      <c r="F23" s="22">
        <f t="shared" si="3"/>
        <v>1.0082212494639032E-3</v>
      </c>
      <c r="G23" s="79">
        <v>2664.8860801596602</v>
      </c>
      <c r="H23" s="79">
        <v>5618.8282720771704</v>
      </c>
      <c r="I23" s="79">
        <v>225.675037418926</v>
      </c>
      <c r="J23" s="32">
        <f t="shared" si="0"/>
        <v>8509.3893896557584</v>
      </c>
      <c r="K23" s="7">
        <f t="shared" si="4"/>
        <v>4.7302211536545831E-4</v>
      </c>
    </row>
    <row r="24" spans="1:11" ht="17.25" x14ac:dyDescent="0.25">
      <c r="A24" s="19" t="s">
        <v>86</v>
      </c>
      <c r="B24" s="21">
        <v>472153.963159854</v>
      </c>
      <c r="C24" s="22">
        <f t="shared" si="1"/>
        <v>1.1868404153334539E-2</v>
      </c>
      <c r="D24" s="78">
        <v>0.16800000000000001</v>
      </c>
      <c r="E24" s="6">
        <f t="shared" si="2"/>
        <v>79321.865810855481</v>
      </c>
      <c r="F24" s="22">
        <f t="shared" si="3"/>
        <v>1.6787574552177918E-2</v>
      </c>
      <c r="G24" s="79">
        <v>61207.999537820397</v>
      </c>
      <c r="H24" s="79">
        <v>192445.91754559599</v>
      </c>
      <c r="I24" s="79">
        <v>5020.2305837027498</v>
      </c>
      <c r="J24" s="32">
        <f t="shared" si="0"/>
        <v>258674.14766711913</v>
      </c>
      <c r="K24" s="7">
        <f t="shared" si="4"/>
        <v>1.4379244728017736E-2</v>
      </c>
    </row>
    <row r="25" spans="1:11" ht="17.25" x14ac:dyDescent="0.25">
      <c r="A25" s="19" t="s">
        <v>87</v>
      </c>
      <c r="B25" s="21">
        <v>9554616.3719805591</v>
      </c>
      <c r="C25" s="22">
        <f t="shared" si="1"/>
        <v>0.2401717606558347</v>
      </c>
      <c r="D25" s="78">
        <v>0.13400000000000001</v>
      </c>
      <c r="E25" s="6">
        <f t="shared" si="2"/>
        <v>1280318.5938453949</v>
      </c>
      <c r="F25" s="22">
        <f t="shared" si="3"/>
        <v>0.27096493035061348</v>
      </c>
      <c r="G25" s="79">
        <v>750376.52539753402</v>
      </c>
      <c r="H25" s="79">
        <v>4595475.2945797602</v>
      </c>
      <c r="I25" s="79">
        <v>18474.309094238</v>
      </c>
      <c r="J25" s="32">
        <f t="shared" si="0"/>
        <v>5364326.1290715327</v>
      </c>
      <c r="K25" s="7">
        <f t="shared" si="4"/>
        <v>0.29819353385898673</v>
      </c>
    </row>
    <row r="26" spans="1:11" x14ac:dyDescent="0.25">
      <c r="A26" s="19" t="s">
        <v>26</v>
      </c>
      <c r="B26" s="21">
        <v>158794</v>
      </c>
      <c r="C26" s="22">
        <f t="shared" si="1"/>
        <v>3.9915610503655514E-3</v>
      </c>
      <c r="D26" s="78">
        <v>0.17599999999999999</v>
      </c>
      <c r="E26" s="20">
        <f t="shared" si="2"/>
        <v>27947.743999999999</v>
      </c>
      <c r="F26" s="22">
        <f t="shared" si="3"/>
        <v>5.9148235000414575E-3</v>
      </c>
      <c r="G26" s="79">
        <v>5311.6820643517103</v>
      </c>
      <c r="H26" s="79">
        <v>93389.388989874395</v>
      </c>
      <c r="I26" s="79">
        <v>110.102093210652</v>
      </c>
      <c r="J26" s="32">
        <f t="shared" si="0"/>
        <v>98811.173147436755</v>
      </c>
      <c r="K26" s="7">
        <f t="shared" si="4"/>
        <v>5.4927407835821144E-3</v>
      </c>
    </row>
    <row r="27" spans="1:11" x14ac:dyDescent="0.25">
      <c r="A27" s="19" t="s">
        <v>27</v>
      </c>
      <c r="B27" s="21">
        <v>258955.99999999901</v>
      </c>
      <c r="C27" s="22">
        <f t="shared" si="1"/>
        <v>6.5093056624208586E-3</v>
      </c>
      <c r="D27" s="78">
        <v>6.9000000000000006E-2</v>
      </c>
      <c r="E27" s="20">
        <f t="shared" si="2"/>
        <v>17867.963999999934</v>
      </c>
      <c r="F27" s="22">
        <f t="shared" si="3"/>
        <v>3.7815522199249564E-3</v>
      </c>
      <c r="G27" s="79">
        <v>8814.2347085889596</v>
      </c>
      <c r="H27" s="79">
        <v>46954.640659509198</v>
      </c>
      <c r="I27" s="79">
        <v>468.66269938650299</v>
      </c>
      <c r="J27" s="32">
        <f t="shared" si="0"/>
        <v>56237.538067484667</v>
      </c>
      <c r="K27" s="7">
        <f t="shared" si="4"/>
        <v>3.1261466600605563E-3</v>
      </c>
    </row>
    <row r="28" spans="1:11" x14ac:dyDescent="0.25">
      <c r="A28" s="19" t="s">
        <v>28</v>
      </c>
      <c r="B28" s="21">
        <v>17778.000000000098</v>
      </c>
      <c r="C28" s="22">
        <f t="shared" si="1"/>
        <v>4.4688069041273076E-4</v>
      </c>
      <c r="D28" s="78">
        <v>0.151</v>
      </c>
      <c r="E28" s="20">
        <f t="shared" si="2"/>
        <v>2684.4780000000146</v>
      </c>
      <c r="F28" s="22">
        <f t="shared" si="3"/>
        <v>5.6813936608780943E-4</v>
      </c>
      <c r="G28" s="79">
        <v>252.75830289407099</v>
      </c>
      <c r="H28" s="79">
        <v>2175.9193031750501</v>
      </c>
      <c r="I28" s="79">
        <v>46.955099747120002</v>
      </c>
      <c r="J28" s="32">
        <f t="shared" si="0"/>
        <v>2475.632705816241</v>
      </c>
      <c r="K28" s="7">
        <f t="shared" si="4"/>
        <v>1.3761610448766699E-4</v>
      </c>
    </row>
    <row r="29" spans="1:11" x14ac:dyDescent="0.25">
      <c r="A29" s="19" t="s">
        <v>29</v>
      </c>
      <c r="B29" s="21">
        <v>87491.000000000102</v>
      </c>
      <c r="C29" s="22">
        <f t="shared" si="1"/>
        <v>2.1992371743109491E-3</v>
      </c>
      <c r="D29" s="78">
        <v>0.14000000000000001</v>
      </c>
      <c r="E29" s="20">
        <f t="shared" si="2"/>
        <v>12248.740000000016</v>
      </c>
      <c r="F29" s="22">
        <f t="shared" si="3"/>
        <v>2.592307099918258E-3</v>
      </c>
      <c r="G29" s="79">
        <v>817.14589717206195</v>
      </c>
      <c r="H29" s="79">
        <v>23594.345820282899</v>
      </c>
      <c r="I29" s="79">
        <v>91.013828740713905</v>
      </c>
      <c r="J29" s="32">
        <f t="shared" si="0"/>
        <v>24502.505546195673</v>
      </c>
      <c r="K29" s="7">
        <f t="shared" si="4"/>
        <v>1.3620515497039941E-3</v>
      </c>
    </row>
    <row r="30" spans="1:11" x14ac:dyDescent="0.25">
      <c r="A30" s="19" t="s">
        <v>30</v>
      </c>
      <c r="B30" s="21">
        <v>284760.99999999802</v>
      </c>
      <c r="C30" s="22">
        <f t="shared" si="1"/>
        <v>7.1579588414117466E-3</v>
      </c>
      <c r="D30" s="78">
        <v>0.17</v>
      </c>
      <c r="E30" s="20">
        <f t="shared" si="2"/>
        <v>48409.369999999668</v>
      </c>
      <c r="F30" s="22">
        <f t="shared" si="3"/>
        <v>1.0245294908175773E-2</v>
      </c>
      <c r="G30" s="79">
        <v>8971.2297508872107</v>
      </c>
      <c r="H30" s="79">
        <v>164372.149561617</v>
      </c>
      <c r="I30" s="79">
        <v>548.87479646510303</v>
      </c>
      <c r="J30" s="32">
        <f t="shared" si="0"/>
        <v>173892.2541089693</v>
      </c>
      <c r="K30" s="7">
        <f t="shared" si="4"/>
        <v>9.6663671290308679E-3</v>
      </c>
    </row>
    <row r="31" spans="1:11" x14ac:dyDescent="0.25">
      <c r="A31" s="19" t="s">
        <v>31</v>
      </c>
      <c r="B31" s="21">
        <v>9416.00000000004</v>
      </c>
      <c r="C31" s="22">
        <f t="shared" si="1"/>
        <v>2.3668739908461398E-4</v>
      </c>
      <c r="D31" s="78">
        <v>0.20499999999999999</v>
      </c>
      <c r="E31" s="20">
        <f t="shared" si="2"/>
        <v>1930.2800000000082</v>
      </c>
      <c r="F31" s="22">
        <f t="shared" si="3"/>
        <v>4.0852190093268616E-4</v>
      </c>
      <c r="G31" s="79">
        <v>147.07841688654401</v>
      </c>
      <c r="H31" s="79">
        <v>1676.49519788918</v>
      </c>
      <c r="I31" s="79">
        <v>44.719788918205801</v>
      </c>
      <c r="J31" s="32">
        <f t="shared" si="0"/>
        <v>1868.2934036939296</v>
      </c>
      <c r="K31" s="7">
        <f t="shared" si="4"/>
        <v>1.0385517191315017E-4</v>
      </c>
    </row>
    <row r="32" spans="1:11" x14ac:dyDescent="0.25">
      <c r="A32" s="19" t="s">
        <v>32</v>
      </c>
      <c r="B32" s="21">
        <v>13447</v>
      </c>
      <c r="C32" s="22">
        <f t="shared" si="1"/>
        <v>3.3801353605467191E-4</v>
      </c>
      <c r="D32" s="78">
        <v>0.10100000000000001</v>
      </c>
      <c r="E32" s="20">
        <f t="shared" si="2"/>
        <v>1358.1470000000002</v>
      </c>
      <c r="F32" s="22">
        <f t="shared" si="3"/>
        <v>2.8743643108047673E-4</v>
      </c>
      <c r="G32" s="79">
        <v>145.440656113459</v>
      </c>
      <c r="H32" s="79">
        <v>4046.3324260439799</v>
      </c>
      <c r="I32" s="79">
        <v>28.895494592077899</v>
      </c>
      <c r="J32" s="32">
        <f t="shared" si="0"/>
        <v>4220.6685767495164</v>
      </c>
      <c r="K32" s="7">
        <f t="shared" si="4"/>
        <v>2.3461960512202395E-4</v>
      </c>
    </row>
    <row r="33" spans="1:11" x14ac:dyDescent="0.25">
      <c r="A33" s="19" t="s">
        <v>33</v>
      </c>
      <c r="B33" s="21">
        <v>441290</v>
      </c>
      <c r="C33" s="22">
        <f t="shared" si="1"/>
        <v>1.1092585210497968E-2</v>
      </c>
      <c r="D33" s="78">
        <v>0.126</v>
      </c>
      <c r="E33" s="20">
        <f t="shared" si="2"/>
        <v>55602.54</v>
      </c>
      <c r="F33" s="22">
        <f t="shared" si="3"/>
        <v>1.1767647873617103E-2</v>
      </c>
      <c r="G33" s="79">
        <v>12485.443070697</v>
      </c>
      <c r="H33" s="79">
        <v>264330.28293056902</v>
      </c>
      <c r="I33" s="79">
        <v>1957.9802421044201</v>
      </c>
      <c r="J33" s="32">
        <f t="shared" si="0"/>
        <v>278773.70624337049</v>
      </c>
      <c r="K33" s="7">
        <f t="shared" si="4"/>
        <v>1.5496544134624745E-2</v>
      </c>
    </row>
    <row r="34" spans="1:11" x14ac:dyDescent="0.25">
      <c r="A34" s="19" t="s">
        <v>34</v>
      </c>
      <c r="B34" s="21">
        <v>138711</v>
      </c>
      <c r="C34" s="22">
        <f t="shared" si="1"/>
        <v>3.4867402096883764E-3</v>
      </c>
      <c r="D34" s="78">
        <v>7.3999999999999996E-2</v>
      </c>
      <c r="E34" s="20">
        <f t="shared" si="2"/>
        <v>10264.614</v>
      </c>
      <c r="F34" s="22">
        <f t="shared" si="3"/>
        <v>2.1723893029095497E-3</v>
      </c>
      <c r="G34" s="79">
        <v>2490.1073883653698</v>
      </c>
      <c r="H34" s="79">
        <v>52360.7902214075</v>
      </c>
      <c r="I34" s="79">
        <v>295.99202302867099</v>
      </c>
      <c r="J34" s="32">
        <f t="shared" si="0"/>
        <v>55146.889632801547</v>
      </c>
      <c r="K34" s="7">
        <f t="shared" si="4"/>
        <v>3.0655194157225576E-3</v>
      </c>
    </row>
    <row r="35" spans="1:11" x14ac:dyDescent="0.25">
      <c r="A35" s="19" t="s">
        <v>35</v>
      </c>
      <c r="B35" s="21">
        <v>97439.000000000495</v>
      </c>
      <c r="C35" s="22">
        <f t="shared" si="1"/>
        <v>2.4492973108969545E-3</v>
      </c>
      <c r="D35" s="78">
        <v>9.4E-2</v>
      </c>
      <c r="E35" s="20">
        <f t="shared" si="2"/>
        <v>9159.2660000000469</v>
      </c>
      <c r="F35" s="22">
        <f t="shared" si="3"/>
        <v>1.9384549171457632E-3</v>
      </c>
      <c r="G35" s="79">
        <v>1674.1621314962999</v>
      </c>
      <c r="H35" s="79">
        <v>11788.2335933543</v>
      </c>
      <c r="I35" s="79">
        <v>216.180133725053</v>
      </c>
      <c r="J35" s="32">
        <f t="shared" si="0"/>
        <v>13678.575858575652</v>
      </c>
      <c r="K35" s="7">
        <f t="shared" si="4"/>
        <v>7.6036817585005303E-4</v>
      </c>
    </row>
    <row r="36" spans="1:11" x14ac:dyDescent="0.25">
      <c r="A36" s="19" t="s">
        <v>36</v>
      </c>
      <c r="B36" s="21">
        <v>3190832</v>
      </c>
      <c r="C36" s="22">
        <f t="shared" si="1"/>
        <v>8.0207065313928821E-2</v>
      </c>
      <c r="D36" s="78">
        <v>9.5000000000000001E-2</v>
      </c>
      <c r="E36" s="20">
        <f t="shared" si="2"/>
        <v>303129.03999999998</v>
      </c>
      <c r="F36" s="22">
        <f t="shared" si="3"/>
        <v>6.4153828278125311E-2</v>
      </c>
      <c r="G36" s="79">
        <v>56059.875349657297</v>
      </c>
      <c r="H36" s="79">
        <v>1125269.4135980001</v>
      </c>
      <c r="I36" s="79">
        <v>4036.3268384048602</v>
      </c>
      <c r="J36" s="32">
        <f t="shared" si="0"/>
        <v>1185365.6157860623</v>
      </c>
      <c r="K36" s="7">
        <f t="shared" si="4"/>
        <v>6.5892407243956813E-2</v>
      </c>
    </row>
    <row r="37" spans="1:11" ht="17.25" x14ac:dyDescent="0.25">
      <c r="A37" s="19" t="s">
        <v>88</v>
      </c>
      <c r="B37" s="21">
        <v>144822.66485958701</v>
      </c>
      <c r="C37" s="22">
        <f t="shared" ref="C37" si="5">B37/$B$66</f>
        <v>3.6403674462742383E-3</v>
      </c>
      <c r="D37" s="78">
        <v>0.14499999999999999</v>
      </c>
      <c r="E37" s="6">
        <f t="shared" ref="E37" si="6">B37*D37</f>
        <v>20999.286404640116</v>
      </c>
      <c r="F37" s="22">
        <f t="shared" ref="F37" si="7">E37/$E$66</f>
        <v>4.4442611435923573E-3</v>
      </c>
      <c r="G37" s="79">
        <v>14693.2870985442</v>
      </c>
      <c r="H37" s="79">
        <v>48767.095923532099</v>
      </c>
      <c r="I37" s="79">
        <v>111.952877547849</v>
      </c>
      <c r="J37" s="32">
        <f t="shared" ref="J37" si="8">G37+H37+I37</f>
        <v>63572.335899624144</v>
      </c>
      <c r="K37" s="7">
        <f t="shared" ref="K37" si="9">J37/$J$66</f>
        <v>3.5338752792907725E-3</v>
      </c>
    </row>
    <row r="38" spans="1:11" x14ac:dyDescent="0.25">
      <c r="A38" s="19" t="s">
        <v>38</v>
      </c>
      <c r="B38" s="21">
        <v>397468.99999999901</v>
      </c>
      <c r="C38" s="22">
        <f t="shared" si="1"/>
        <v>9.9910688006331558E-3</v>
      </c>
      <c r="D38" s="78">
        <v>6.6000000000000003E-2</v>
      </c>
      <c r="E38" s="20">
        <f t="shared" si="2"/>
        <v>26232.953999999936</v>
      </c>
      <c r="F38" s="22">
        <f t="shared" si="3"/>
        <v>5.5519076171123569E-3</v>
      </c>
      <c r="G38" s="79">
        <v>6453.8561610652496</v>
      </c>
      <c r="H38" s="79">
        <v>60614.831465360097</v>
      </c>
      <c r="I38" s="79">
        <v>647.17228806744697</v>
      </c>
      <c r="J38" s="32">
        <f t="shared" ref="J38:J65" si="10">G38+H38+I38</f>
        <v>67715.859914492801</v>
      </c>
      <c r="K38" s="7">
        <f t="shared" si="4"/>
        <v>3.7642065527618571E-3</v>
      </c>
    </row>
    <row r="39" spans="1:11" x14ac:dyDescent="0.25">
      <c r="A39" s="19" t="s">
        <v>39</v>
      </c>
      <c r="B39" s="21">
        <v>18246</v>
      </c>
      <c r="C39" s="22">
        <f t="shared" si="1"/>
        <v>4.5864467753800429E-4</v>
      </c>
      <c r="D39" s="78">
        <v>0.13200000000000001</v>
      </c>
      <c r="E39" s="20">
        <f t="shared" si="2"/>
        <v>2408.4720000000002</v>
      </c>
      <c r="F39" s="22">
        <f t="shared" si="3"/>
        <v>5.0972582204817144E-4</v>
      </c>
      <c r="G39" s="79">
        <v>428.36847923356299</v>
      </c>
      <c r="H39" s="79">
        <v>2152.4075380323202</v>
      </c>
      <c r="I39" s="79">
        <v>39.379165131336499</v>
      </c>
      <c r="J39" s="8">
        <f t="shared" si="10"/>
        <v>2620.1551823972195</v>
      </c>
      <c r="K39" s="7">
        <f t="shared" si="4"/>
        <v>1.456498569062944E-4</v>
      </c>
    </row>
    <row r="40" spans="1:11" x14ac:dyDescent="0.25">
      <c r="A40" s="19" t="s">
        <v>40</v>
      </c>
      <c r="B40" s="21">
        <v>2449299.0000000098</v>
      </c>
      <c r="C40" s="22">
        <f t="shared" si="1"/>
        <v>6.1567354491349383E-2</v>
      </c>
      <c r="D40" s="78">
        <v>0.113</v>
      </c>
      <c r="E40" s="20">
        <f t="shared" si="2"/>
        <v>276770.78700000112</v>
      </c>
      <c r="F40" s="22">
        <f t="shared" si="3"/>
        <v>5.857540254671631E-2</v>
      </c>
      <c r="G40" s="79">
        <v>159481.875250846</v>
      </c>
      <c r="H40" s="79">
        <v>1159376.24159156</v>
      </c>
      <c r="I40" s="79">
        <v>6666.7034076198897</v>
      </c>
      <c r="J40" s="8">
        <f t="shared" si="10"/>
        <v>1325524.8202500257</v>
      </c>
      <c r="K40" s="7">
        <f t="shared" si="4"/>
        <v>7.3683612975366616E-2</v>
      </c>
    </row>
    <row r="41" spans="1:11" x14ac:dyDescent="0.25">
      <c r="A41" s="19" t="s">
        <v>41</v>
      </c>
      <c r="B41" s="21">
        <v>1562242</v>
      </c>
      <c r="C41" s="22">
        <f t="shared" si="1"/>
        <v>3.9269646954199655E-2</v>
      </c>
      <c r="D41" s="78">
        <v>0.126</v>
      </c>
      <c r="E41" s="20">
        <f t="shared" si="2"/>
        <v>196842.492</v>
      </c>
      <c r="F41" s="22">
        <f t="shared" si="3"/>
        <v>4.1659484124669334E-2</v>
      </c>
      <c r="G41" s="79">
        <v>165689.96324303601</v>
      </c>
      <c r="H41" s="79">
        <v>358326.041628215</v>
      </c>
      <c r="I41" s="79">
        <v>15335.7221027121</v>
      </c>
      <c r="J41" s="8">
        <f t="shared" si="10"/>
        <v>539351.72697396309</v>
      </c>
      <c r="K41" s="7">
        <f t="shared" si="4"/>
        <v>2.9981621845790049E-2</v>
      </c>
    </row>
    <row r="42" spans="1:11" x14ac:dyDescent="0.25">
      <c r="A42" s="19" t="s">
        <v>42</v>
      </c>
      <c r="B42" s="21">
        <v>62789.000000000298</v>
      </c>
      <c r="C42" s="22">
        <f t="shared" si="1"/>
        <v>1.5783098025832451E-3</v>
      </c>
      <c r="D42" s="78">
        <v>0.104</v>
      </c>
      <c r="E42" s="20">
        <f t="shared" si="2"/>
        <v>6530.0560000000305</v>
      </c>
      <c r="F42" s="22">
        <f t="shared" si="3"/>
        <v>1.382012397329348E-3</v>
      </c>
      <c r="G42" s="79">
        <v>673.76906375933299</v>
      </c>
      <c r="H42" s="79">
        <v>37019.049607947301</v>
      </c>
      <c r="I42" s="79">
        <v>127.496329386773</v>
      </c>
      <c r="J42" s="8">
        <f t="shared" si="10"/>
        <v>37820.315001093404</v>
      </c>
      <c r="K42" s="7">
        <f t="shared" si="4"/>
        <v>2.1023653503684475E-3</v>
      </c>
    </row>
    <row r="43" spans="1:11" x14ac:dyDescent="0.25">
      <c r="A43" s="19" t="s">
        <v>43</v>
      </c>
      <c r="B43" s="21">
        <v>2184112</v>
      </c>
      <c r="C43" s="22">
        <f t="shared" si="1"/>
        <v>5.4901421897779551E-2</v>
      </c>
      <c r="D43" s="78">
        <v>0.13300000000000001</v>
      </c>
      <c r="E43" s="20">
        <f t="shared" si="2"/>
        <v>290486.89600000001</v>
      </c>
      <c r="F43" s="22">
        <f t="shared" si="3"/>
        <v>6.1478261677039084E-2</v>
      </c>
      <c r="G43" s="79">
        <v>195900.46497381199</v>
      </c>
      <c r="H43" s="79">
        <v>1110815.11001994</v>
      </c>
      <c r="I43" s="79">
        <v>6424.0963796305496</v>
      </c>
      <c r="J43" s="8">
        <f t="shared" si="10"/>
        <v>1313139.6713733824</v>
      </c>
      <c r="K43" s="7">
        <f t="shared" si="4"/>
        <v>7.2995144149640104E-2</v>
      </c>
    </row>
    <row r="44" spans="1:11" x14ac:dyDescent="0.25">
      <c r="A44" s="19" t="s">
        <v>44</v>
      </c>
      <c r="B44" s="21">
        <v>3352145</v>
      </c>
      <c r="C44" s="22">
        <f t="shared" si="1"/>
        <v>8.426194577362893E-2</v>
      </c>
      <c r="D44" s="78">
        <v>0.10299999999999999</v>
      </c>
      <c r="E44" s="20">
        <f t="shared" si="2"/>
        <v>345270.935</v>
      </c>
      <c r="F44" s="22">
        <f t="shared" si="3"/>
        <v>7.3072683083804074E-2</v>
      </c>
      <c r="G44" s="79">
        <v>169194.69661181499</v>
      </c>
      <c r="H44" s="79">
        <v>1099176.2402645601</v>
      </c>
      <c r="I44" s="79">
        <v>14304.0267972697</v>
      </c>
      <c r="J44" s="8">
        <f t="shared" si="10"/>
        <v>1282674.9636736447</v>
      </c>
      <c r="K44" s="7">
        <f t="shared" si="4"/>
        <v>7.1301664180602839E-2</v>
      </c>
    </row>
    <row r="45" spans="1:11" x14ac:dyDescent="0.25">
      <c r="A45" s="19" t="s">
        <v>45</v>
      </c>
      <c r="B45" s="21">
        <v>899890.99999999802</v>
      </c>
      <c r="C45" s="22">
        <f t="shared" si="1"/>
        <v>2.2620312261007965E-2</v>
      </c>
      <c r="D45" s="78">
        <v>9.5000000000000001E-2</v>
      </c>
      <c r="E45" s="20">
        <f t="shared" si="2"/>
        <v>85489.644999999815</v>
      </c>
      <c r="F45" s="22">
        <f t="shared" si="3"/>
        <v>1.809291516539584E-2</v>
      </c>
      <c r="G45" s="79">
        <v>48378.167592011501</v>
      </c>
      <c r="H45" s="79">
        <v>132384.66861859499</v>
      </c>
      <c r="I45" s="79">
        <v>2063.4520397184701</v>
      </c>
      <c r="J45" s="8">
        <f t="shared" si="10"/>
        <v>182826.28825032499</v>
      </c>
      <c r="K45" s="7">
        <f t="shared" si="4"/>
        <v>1.01629945055414E-2</v>
      </c>
    </row>
    <row r="46" spans="1:11" x14ac:dyDescent="0.25">
      <c r="A46" s="19" t="s">
        <v>46</v>
      </c>
      <c r="B46" s="21">
        <v>776067.99999999895</v>
      </c>
      <c r="C46" s="22">
        <f t="shared" si="1"/>
        <v>1.9507807607561298E-2</v>
      </c>
      <c r="D46" s="78">
        <v>0.13600000000000001</v>
      </c>
      <c r="E46" s="20">
        <f t="shared" si="2"/>
        <v>105545.24799999986</v>
      </c>
      <c r="F46" s="22">
        <f t="shared" si="3"/>
        <v>2.2337456403926658E-2</v>
      </c>
      <c r="G46" s="79">
        <v>54269.074744583399</v>
      </c>
      <c r="H46" s="79">
        <v>317780.82722910499</v>
      </c>
      <c r="I46" s="79">
        <v>3789.3741931773902</v>
      </c>
      <c r="J46" s="8">
        <f t="shared" si="10"/>
        <v>375839.27616686578</v>
      </c>
      <c r="K46" s="7">
        <f t="shared" si="4"/>
        <v>2.089224987940827E-2</v>
      </c>
    </row>
    <row r="47" spans="1:11" x14ac:dyDescent="0.25">
      <c r="A47" s="19" t="s">
        <v>47</v>
      </c>
      <c r="B47" s="21">
        <v>276151.00000000099</v>
      </c>
      <c r="C47" s="22">
        <f t="shared" si="1"/>
        <v>6.9415316423762953E-3</v>
      </c>
      <c r="D47" s="78">
        <v>0.11600000000000001</v>
      </c>
      <c r="E47" s="20">
        <f t="shared" si="2"/>
        <v>32033.516000000116</v>
      </c>
      <c r="F47" s="22">
        <f t="shared" si="3"/>
        <v>6.7795308711055434E-3</v>
      </c>
      <c r="G47" s="79">
        <v>6685.3691108863904</v>
      </c>
      <c r="H47" s="79">
        <v>67231.977436868401</v>
      </c>
      <c r="I47" s="79">
        <v>310.947400506343</v>
      </c>
      <c r="J47" s="8">
        <f t="shared" si="10"/>
        <v>74228.293948261125</v>
      </c>
      <c r="K47" s="7">
        <f t="shared" si="4"/>
        <v>4.126221402684681E-3</v>
      </c>
    </row>
    <row r="48" spans="1:11" x14ac:dyDescent="0.25">
      <c r="A48" s="19" t="s">
        <v>48</v>
      </c>
      <c r="B48" s="21">
        <v>775132</v>
      </c>
      <c r="C48" s="22">
        <f t="shared" si="1"/>
        <v>1.9484279633310772E-2</v>
      </c>
      <c r="D48" s="78">
        <v>6.0999999999999999E-2</v>
      </c>
      <c r="E48" s="20">
        <f t="shared" si="2"/>
        <v>47283.051999999996</v>
      </c>
      <c r="F48" s="22">
        <f t="shared" si="3"/>
        <v>1.0006922459404316E-2</v>
      </c>
      <c r="G48" s="79">
        <v>19509.788321608801</v>
      </c>
      <c r="H48" s="79">
        <v>211939.547080274</v>
      </c>
      <c r="I48" s="79">
        <v>9436.0742107015394</v>
      </c>
      <c r="J48" s="8">
        <f t="shared" si="10"/>
        <v>240885.40961258434</v>
      </c>
      <c r="K48" s="7">
        <f t="shared" si="4"/>
        <v>1.3390399804025078E-2</v>
      </c>
    </row>
    <row r="49" spans="1:11" x14ac:dyDescent="0.25">
      <c r="A49" s="19" t="s">
        <v>49</v>
      </c>
      <c r="B49" s="21">
        <v>451328.99999999901</v>
      </c>
      <c r="C49" s="22">
        <f t="shared" si="1"/>
        <v>1.1344932789024964E-2</v>
      </c>
      <c r="D49" s="78">
        <v>0.12</v>
      </c>
      <c r="E49" s="20">
        <f t="shared" si="2"/>
        <v>54159.47999999988</v>
      </c>
      <c r="F49" s="22">
        <f t="shared" si="3"/>
        <v>1.1462240567754757E-2</v>
      </c>
      <c r="G49" s="79">
        <v>8346.7180573785099</v>
      </c>
      <c r="H49" s="79">
        <v>214159.57766344599</v>
      </c>
      <c r="I49" s="79">
        <v>646.771754683121</v>
      </c>
      <c r="J49" s="8">
        <f t="shared" si="10"/>
        <v>223153.06747550762</v>
      </c>
      <c r="K49" s="7">
        <f t="shared" si="4"/>
        <v>1.2404689830726581E-2</v>
      </c>
    </row>
    <row r="50" spans="1:11" x14ac:dyDescent="0.25">
      <c r="A50" s="19" t="s">
        <v>50</v>
      </c>
      <c r="B50" s="21">
        <v>1962250.99999999</v>
      </c>
      <c r="C50" s="22">
        <f t="shared" si="1"/>
        <v>4.9324563035384295E-2</v>
      </c>
      <c r="D50" s="78">
        <v>6.0999999999999999E-2</v>
      </c>
      <c r="E50" s="20">
        <f t="shared" si="2"/>
        <v>119697.31099999939</v>
      </c>
      <c r="F50" s="22">
        <f t="shared" si="3"/>
        <v>2.533258026102455E-2</v>
      </c>
      <c r="G50" s="79">
        <v>46410.841100638601</v>
      </c>
      <c r="H50" s="79">
        <v>508116.78275551001</v>
      </c>
      <c r="I50" s="79">
        <v>6743.6686404907496</v>
      </c>
      <c r="J50" s="8">
        <f t="shared" si="10"/>
        <v>561271.2924966393</v>
      </c>
      <c r="K50" s="7">
        <f t="shared" si="4"/>
        <v>3.1200092264364643E-2</v>
      </c>
    </row>
    <row r="51" spans="1:11" x14ac:dyDescent="0.25">
      <c r="A51" s="19" t="s">
        <v>51</v>
      </c>
      <c r="B51" s="21">
        <v>270067</v>
      </c>
      <c r="C51" s="22">
        <f t="shared" si="1"/>
        <v>6.7885998097476823E-3</v>
      </c>
      <c r="D51" s="78">
        <v>0.106</v>
      </c>
      <c r="E51" s="20">
        <f t="shared" si="2"/>
        <v>28627.101999999999</v>
      </c>
      <c r="F51" s="22">
        <f t="shared" si="3"/>
        <v>6.058601926784638E-3</v>
      </c>
      <c r="G51" s="79">
        <v>2763.7614297862401</v>
      </c>
      <c r="H51" s="79">
        <v>95976.642462198797</v>
      </c>
      <c r="I51" s="79">
        <v>326.250011861357</v>
      </c>
      <c r="J51" s="8">
        <f t="shared" si="10"/>
        <v>99066.653903846396</v>
      </c>
      <c r="K51" s="7">
        <f t="shared" si="4"/>
        <v>5.506942513259565E-3</v>
      </c>
    </row>
    <row r="52" spans="1:11" x14ac:dyDescent="0.25">
      <c r="A52" s="3" t="s">
        <v>52</v>
      </c>
      <c r="B52" s="11">
        <v>177692.00000000099</v>
      </c>
      <c r="C52" s="7">
        <f t="shared" si="1"/>
        <v>4.4665948723601615E-3</v>
      </c>
      <c r="D52" s="78">
        <v>0.13300000000000001</v>
      </c>
      <c r="E52" s="6">
        <f t="shared" si="2"/>
        <v>23633.036000000135</v>
      </c>
      <c r="F52" s="7">
        <f t="shared" si="3"/>
        <v>5.0016644173542799E-3</v>
      </c>
      <c r="G52" s="79">
        <v>2293.9919853871002</v>
      </c>
      <c r="H52" s="79">
        <v>20545.060132078099</v>
      </c>
      <c r="I52" s="79">
        <v>237.68832935225501</v>
      </c>
      <c r="J52" s="8">
        <f t="shared" si="10"/>
        <v>23076.740446817454</v>
      </c>
      <c r="K52" s="7">
        <f t="shared" si="4"/>
        <v>1.2827957544360084E-3</v>
      </c>
    </row>
    <row r="53" spans="1:11" x14ac:dyDescent="0.25">
      <c r="A53" s="3" t="s">
        <v>53</v>
      </c>
      <c r="B53" s="11">
        <v>3117.00000000001</v>
      </c>
      <c r="C53" s="7">
        <f t="shared" si="1"/>
        <v>7.8351170661293646E-5</v>
      </c>
      <c r="D53" s="78">
        <v>0.127</v>
      </c>
      <c r="E53" s="6">
        <f t="shared" si="2"/>
        <v>395.85900000000129</v>
      </c>
      <c r="F53" s="7">
        <f t="shared" si="3"/>
        <v>8.3779074114279816E-5</v>
      </c>
      <c r="G53" s="79">
        <v>52.033386837881203</v>
      </c>
      <c r="H53" s="79">
        <v>460.29534510433399</v>
      </c>
      <c r="I53" s="79">
        <v>8.0051364365971107</v>
      </c>
      <c r="J53" s="8">
        <f t="shared" si="10"/>
        <v>520.33386837881233</v>
      </c>
      <c r="K53" s="7">
        <f t="shared" si="4"/>
        <v>2.8924452254592943E-5</v>
      </c>
    </row>
    <row r="54" spans="1:11" x14ac:dyDescent="0.25">
      <c r="A54" s="3" t="s">
        <v>54</v>
      </c>
      <c r="B54" s="11">
        <v>43792</v>
      </c>
      <c r="C54" s="7">
        <f t="shared" si="1"/>
        <v>1.1007874448506129E-3</v>
      </c>
      <c r="D54" s="78">
        <v>0.17399999999999999</v>
      </c>
      <c r="E54" s="6">
        <f t="shared" si="2"/>
        <v>7619.8079999999991</v>
      </c>
      <c r="F54" s="7">
        <f t="shared" si="3"/>
        <v>1.6126460663230598E-3</v>
      </c>
      <c r="G54" s="79">
        <v>1092.9070889070899</v>
      </c>
      <c r="H54" s="79">
        <v>6025.4348894348896</v>
      </c>
      <c r="I54" s="79">
        <v>142.46646646646701</v>
      </c>
      <c r="J54" s="8">
        <f t="shared" si="10"/>
        <v>7260.8084448084464</v>
      </c>
      <c r="K54" s="7">
        <f t="shared" si="4"/>
        <v>4.0361567822971796E-4</v>
      </c>
    </row>
    <row r="55" spans="1:11" x14ac:dyDescent="0.25">
      <c r="A55" s="3" t="s">
        <v>55</v>
      </c>
      <c r="B55" s="11">
        <v>440198.00000000099</v>
      </c>
      <c r="C55" s="7">
        <f t="shared" si="1"/>
        <v>1.1065135907205682E-2</v>
      </c>
      <c r="D55" s="78">
        <v>0.09</v>
      </c>
      <c r="E55" s="6">
        <f t="shared" si="2"/>
        <v>39617.820000000087</v>
      </c>
      <c r="F55" s="7">
        <f t="shared" si="3"/>
        <v>8.3846629179232853E-3</v>
      </c>
      <c r="G55" s="79">
        <v>64615.483850491197</v>
      </c>
      <c r="H55" s="79">
        <v>120346.846491317</v>
      </c>
      <c r="I55" s="79">
        <v>4029.8595761443298</v>
      </c>
      <c r="J55" s="8">
        <f t="shared" si="10"/>
        <v>188992.18991795255</v>
      </c>
      <c r="K55" s="7">
        <f t="shared" si="4"/>
        <v>1.0505746225600432E-2</v>
      </c>
    </row>
    <row r="56" spans="1:11" x14ac:dyDescent="0.25">
      <c r="A56" s="3" t="s">
        <v>56</v>
      </c>
      <c r="B56" s="11">
        <v>491134.00000000099</v>
      </c>
      <c r="C56" s="7">
        <f t="shared" si="1"/>
        <v>1.234550011278914E-2</v>
      </c>
      <c r="D56" s="78">
        <v>7.1999999999999995E-2</v>
      </c>
      <c r="E56" s="6">
        <f t="shared" si="2"/>
        <v>35361.648000000067</v>
      </c>
      <c r="F56" s="7">
        <f t="shared" si="3"/>
        <v>7.4838923166962749E-3</v>
      </c>
      <c r="G56" s="79">
        <v>10708.340553448201</v>
      </c>
      <c r="H56" s="79">
        <v>141838.78880459399</v>
      </c>
      <c r="I56" s="79">
        <v>1721.6013393252599</v>
      </c>
      <c r="J56" s="8">
        <f t="shared" si="10"/>
        <v>154268.73069736746</v>
      </c>
      <c r="K56" s="7">
        <f t="shared" si="4"/>
        <v>8.5755296869973203E-3</v>
      </c>
    </row>
    <row r="57" spans="1:11" x14ac:dyDescent="0.25">
      <c r="A57" s="3" t="s">
        <v>57</v>
      </c>
      <c r="B57" s="11">
        <v>555955.00000000105</v>
      </c>
      <c r="C57" s="7">
        <f t="shared" si="1"/>
        <v>1.3974887739813749E-2</v>
      </c>
      <c r="D57" s="78">
        <v>0.13</v>
      </c>
      <c r="E57" s="6">
        <f t="shared" si="2"/>
        <v>72274.15000000014</v>
      </c>
      <c r="F57" s="7">
        <f t="shared" si="3"/>
        <v>1.5296005318551728E-2</v>
      </c>
      <c r="G57" s="79">
        <v>15868.8069421646</v>
      </c>
      <c r="H57" s="79">
        <v>258258.159186417</v>
      </c>
      <c r="I57" s="79">
        <v>3181.6710741361899</v>
      </c>
      <c r="J57" s="8">
        <f t="shared" si="10"/>
        <v>277308.63720271783</v>
      </c>
      <c r="K57" s="7">
        <f t="shared" si="4"/>
        <v>1.5415103501809375E-2</v>
      </c>
    </row>
    <row r="58" spans="1:11" x14ac:dyDescent="0.25">
      <c r="A58" s="3" t="s">
        <v>58</v>
      </c>
      <c r="B58" s="11">
        <v>101160</v>
      </c>
      <c r="C58" s="7">
        <f t="shared" si="1"/>
        <v>2.5428310632327369E-3</v>
      </c>
      <c r="D58" s="78">
        <v>0.128</v>
      </c>
      <c r="E58" s="6">
        <f t="shared" si="2"/>
        <v>12948.48</v>
      </c>
      <c r="F58" s="7">
        <f t="shared" si="3"/>
        <v>2.7403991461284606E-3</v>
      </c>
      <c r="G58" s="79">
        <v>2093.0908678260398</v>
      </c>
      <c r="H58" s="79">
        <v>32867.649011319503</v>
      </c>
      <c r="I58" s="79">
        <v>249.678572441771</v>
      </c>
      <c r="J58" s="8">
        <f t="shared" si="10"/>
        <v>35210.418451587313</v>
      </c>
      <c r="K58" s="7">
        <f t="shared" si="4"/>
        <v>1.957285752972996E-3</v>
      </c>
    </row>
    <row r="59" spans="1:11" x14ac:dyDescent="0.25">
      <c r="A59" s="3" t="s">
        <v>59</v>
      </c>
      <c r="B59" s="11">
        <v>65266</v>
      </c>
      <c r="C59" s="7">
        <f t="shared" si="1"/>
        <v>1.6405734694834697E-3</v>
      </c>
      <c r="D59" s="78">
        <v>0.16300000000000001</v>
      </c>
      <c r="E59" s="6">
        <f t="shared" si="2"/>
        <v>10638.358</v>
      </c>
      <c r="F59" s="7">
        <f t="shared" si="3"/>
        <v>2.2514879877336088E-3</v>
      </c>
      <c r="G59" s="79">
        <v>460.63125142293399</v>
      </c>
      <c r="H59" s="79">
        <v>17631.775578659799</v>
      </c>
      <c r="I59" s="79">
        <v>51.511451772027101</v>
      </c>
      <c r="J59" s="8">
        <f t="shared" si="10"/>
        <v>18143.918281854763</v>
      </c>
      <c r="K59" s="7">
        <f t="shared" si="4"/>
        <v>1.008588773377093E-3</v>
      </c>
    </row>
    <row r="60" spans="1:11" x14ac:dyDescent="0.25">
      <c r="A60" s="3" t="s">
        <v>60</v>
      </c>
      <c r="B60" s="11">
        <v>13291</v>
      </c>
      <c r="C60" s="7">
        <f t="shared" si="1"/>
        <v>3.3409220701291324E-4</v>
      </c>
      <c r="D60" s="78">
        <v>0.16500000000000001</v>
      </c>
      <c r="E60" s="6">
        <f t="shared" si="2"/>
        <v>2193.0150000000003</v>
      </c>
      <c r="F60" s="7">
        <f t="shared" si="3"/>
        <v>4.6412678812083794E-4</v>
      </c>
      <c r="G60" s="79">
        <v>90.570690429833803</v>
      </c>
      <c r="H60" s="79">
        <v>1733.78178822825</v>
      </c>
      <c r="I60" s="79">
        <v>11.9433877489891</v>
      </c>
      <c r="J60" s="8">
        <f t="shared" si="10"/>
        <v>1836.2958664070729</v>
      </c>
      <c r="K60" s="7">
        <f t="shared" si="4"/>
        <v>1.0207648462069728E-4</v>
      </c>
    </row>
    <row r="61" spans="1:11" x14ac:dyDescent="0.25">
      <c r="A61" s="3" t="s">
        <v>61</v>
      </c>
      <c r="B61" s="11">
        <v>480788.00000000099</v>
      </c>
      <c r="C61" s="7">
        <f t="shared" si="1"/>
        <v>1.2085435559801735E-2</v>
      </c>
      <c r="D61" s="78">
        <v>0.189</v>
      </c>
      <c r="E61" s="6">
        <f t="shared" si="2"/>
        <v>90868.93200000019</v>
      </c>
      <c r="F61" s="7">
        <f t="shared" si="3"/>
        <v>1.9231380336719499E-2</v>
      </c>
      <c r="G61" s="79">
        <v>6101.86680648937</v>
      </c>
      <c r="H61" s="79">
        <v>312116.24363005097</v>
      </c>
      <c r="I61" s="79">
        <v>400.96847589813001</v>
      </c>
      <c r="J61" s="8">
        <f t="shared" si="10"/>
        <v>318619.07891243848</v>
      </c>
      <c r="K61" s="7">
        <f t="shared" si="4"/>
        <v>1.7711478908952898E-2</v>
      </c>
    </row>
    <row r="62" spans="1:11" x14ac:dyDescent="0.25">
      <c r="A62" s="3" t="s">
        <v>62</v>
      </c>
      <c r="B62" s="11">
        <v>52353</v>
      </c>
      <c r="C62" s="7">
        <f t="shared" si="1"/>
        <v>1.3159829443794332E-3</v>
      </c>
      <c r="D62" s="78">
        <v>0.113</v>
      </c>
      <c r="E62" s="6">
        <f t="shared" si="2"/>
        <v>5915.8890000000001</v>
      </c>
      <c r="F62" s="7">
        <f t="shared" si="3"/>
        <v>1.2520309074262582E-3</v>
      </c>
      <c r="G62" s="79">
        <v>1370.05233901931</v>
      </c>
      <c r="H62" s="79">
        <v>6585.2515711256701</v>
      </c>
      <c r="I62" s="79">
        <v>124.004737254303</v>
      </c>
      <c r="J62" s="8">
        <f t="shared" si="10"/>
        <v>8079.3086473992835</v>
      </c>
      <c r="K62" s="7">
        <f t="shared" si="4"/>
        <v>4.491146769859891E-4</v>
      </c>
    </row>
    <row r="63" spans="1:11" x14ac:dyDescent="0.25">
      <c r="A63" s="3" t="s">
        <v>63</v>
      </c>
      <c r="B63" s="11">
        <v>841439</v>
      </c>
      <c r="C63" s="7">
        <f t="shared" si="1"/>
        <v>2.1151020433130593E-2</v>
      </c>
      <c r="D63" s="78">
        <v>8.2000000000000003E-2</v>
      </c>
      <c r="E63" s="6">
        <f t="shared" si="2"/>
        <v>68997.998000000007</v>
      </c>
      <c r="F63" s="7">
        <f t="shared" si="3"/>
        <v>1.4602644851270054E-2</v>
      </c>
      <c r="G63" s="79">
        <v>14084.717138846599</v>
      </c>
      <c r="H63" s="79">
        <v>370317.348599291</v>
      </c>
      <c r="I63" s="79">
        <v>1437.67919793327</v>
      </c>
      <c r="J63" s="8">
        <f t="shared" si="10"/>
        <v>385839.74493607087</v>
      </c>
      <c r="K63" s="7">
        <f t="shared" si="4"/>
        <v>2.1448158496965016E-2</v>
      </c>
    </row>
    <row r="64" spans="1:11" x14ac:dyDescent="0.25">
      <c r="A64" s="3" t="s">
        <v>64</v>
      </c>
      <c r="B64" s="11">
        <v>221718.00000000099</v>
      </c>
      <c r="C64" s="7">
        <f t="shared" si="1"/>
        <v>5.5732643107734127E-3</v>
      </c>
      <c r="D64" s="78">
        <v>0.16900000000000001</v>
      </c>
      <c r="E64" s="6">
        <f t="shared" si="2"/>
        <v>37470.342000000172</v>
      </c>
      <c r="F64" s="7">
        <f t="shared" si="3"/>
        <v>7.9301735201306924E-3</v>
      </c>
      <c r="G64" s="79">
        <v>5691.3820367422204</v>
      </c>
      <c r="H64" s="79">
        <v>71151.199229021702</v>
      </c>
      <c r="I64" s="79">
        <v>1018.3012807899401</v>
      </c>
      <c r="J64" s="8">
        <f t="shared" si="10"/>
        <v>77860.882546553854</v>
      </c>
      <c r="K64" s="7">
        <f t="shared" si="4"/>
        <v>4.3281506674455201E-3</v>
      </c>
    </row>
    <row r="65" spans="1:11" x14ac:dyDescent="0.25">
      <c r="A65" s="3" t="s">
        <v>65</v>
      </c>
      <c r="B65" s="11">
        <v>79089.000000000102</v>
      </c>
      <c r="C65" s="7">
        <f t="shared" si="1"/>
        <v>1.9880384139977676E-3</v>
      </c>
      <c r="D65" s="78">
        <v>0.152</v>
      </c>
      <c r="E65" s="6">
        <f t="shared" si="2"/>
        <v>12021.528000000015</v>
      </c>
      <c r="F65" s="7">
        <f t="shared" si="3"/>
        <v>2.5442202533702352E-3</v>
      </c>
      <c r="G65" s="79">
        <v>2544.5332198259598</v>
      </c>
      <c r="H65" s="79">
        <v>23640.9180098373</v>
      </c>
      <c r="I65" s="79">
        <v>310.21161558834598</v>
      </c>
      <c r="J65" s="8">
        <f t="shared" si="10"/>
        <v>26495.662845251605</v>
      </c>
      <c r="K65" s="7">
        <f t="shared" si="4"/>
        <v>1.472847687791369E-3</v>
      </c>
    </row>
    <row r="66" spans="1:11" x14ac:dyDescent="0.25">
      <c r="A66" s="2" t="s">
        <v>66</v>
      </c>
      <c r="B66" s="12">
        <f>SUM(B5:B65)</f>
        <v>39782430.481792949</v>
      </c>
      <c r="C66" s="13">
        <f>SUM(C5:C65)</f>
        <v>0.99999999999999989</v>
      </c>
      <c r="D66" s="15" t="s">
        <v>109</v>
      </c>
      <c r="E66" s="5">
        <f>SUM(E5:E65)</f>
        <v>4725034.31417761</v>
      </c>
      <c r="F66" s="14">
        <f t="shared" si="3"/>
        <v>1</v>
      </c>
      <c r="G66" s="5">
        <v>2544.5332198259598</v>
      </c>
      <c r="H66" s="5">
        <v>23640.9180098373</v>
      </c>
      <c r="I66" s="5">
        <v>310.21161558834598</v>
      </c>
      <c r="J66" s="5">
        <f t="shared" ref="J66:K66" si="11">SUM(J5:J65)</f>
        <v>17989411.304969069</v>
      </c>
      <c r="K66" s="27">
        <f t="shared" si="11"/>
        <v>1</v>
      </c>
    </row>
    <row r="67" spans="1:11" x14ac:dyDescent="0.25">
      <c r="A67" s="36"/>
      <c r="B67" s="36"/>
      <c r="C67" s="36"/>
      <c r="D67" s="36"/>
      <c r="E67" s="36"/>
      <c r="G67" s="16"/>
      <c r="H67" s="16"/>
      <c r="I67" s="16"/>
    </row>
    <row r="68" spans="1:11" x14ac:dyDescent="0.25">
      <c r="A68" s="36" t="s">
        <v>110</v>
      </c>
      <c r="B68" s="36"/>
      <c r="C68" s="36"/>
      <c r="D68" s="36"/>
      <c r="E68" s="36"/>
    </row>
    <row r="69" spans="1:11" ht="15" customHeight="1" x14ac:dyDescent="0.25">
      <c r="A69" s="37" t="s">
        <v>70</v>
      </c>
      <c r="B69" s="37"/>
      <c r="C69" s="37"/>
      <c r="D69" s="37"/>
      <c r="E69" s="37"/>
      <c r="F69" s="39"/>
      <c r="G69" s="39"/>
      <c r="H69" s="39"/>
    </row>
    <row r="70" spans="1:11" x14ac:dyDescent="0.25">
      <c r="A70" s="38" t="s">
        <v>111</v>
      </c>
      <c r="B70" s="36"/>
      <c r="C70" s="36"/>
      <c r="D70" s="36"/>
      <c r="E70" s="36"/>
    </row>
    <row r="71" spans="1:11" x14ac:dyDescent="0.25">
      <c r="A71" s="36"/>
      <c r="B71" s="36"/>
      <c r="C71" s="36"/>
      <c r="D71" s="36"/>
      <c r="E71" s="36"/>
    </row>
  </sheetData>
  <sheetProtection sheet="1" formatCells="0" formatColumns="0" formatRows="0" insertColumns="0" insertRows="0" insertHyperlinks="0" deleteColumns="0" deleteRows="0"/>
  <pageMargins left="0.45" right="0.45" top="0.5" bottom="0.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rrent_x0020_Reviewer xmlns="159ae6a5-87ac-4fb4-a175-b6749de0604f">
      <UserInfo>
        <DisplayName/>
        <AccountId xsi:nil="true"/>
        <AccountType/>
      </UserInfo>
    </Current_x0020_Reviewer>
    <Approved_x0020_By xmlns="159ae6a5-87ac-4fb4-a175-b6749de0604f">
      <UserInfo>
        <DisplayName/>
        <AccountId xsi:nil="true"/>
        <AccountType/>
      </UserInfo>
    </Approved_x0020_By>
    <Document_x0020_Status xmlns="159ae6a5-87ac-4fb4-a175-b6749de0604f" xsi:nil="true"/>
    <User_x0020_Comments xmlns="159ae6a5-87ac-4fb4-a175-b6749de060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EAD6E0B662E84AB1D524993CAAE21E" ma:contentTypeVersion="8" ma:contentTypeDescription="Create a new document." ma:contentTypeScope="" ma:versionID="b97267ceaf08dbaa3ac116b5d5eb5c10">
  <xsd:schema xmlns:xsd="http://www.w3.org/2001/XMLSchema" xmlns:xs="http://www.w3.org/2001/XMLSchema" xmlns:p="http://schemas.microsoft.com/office/2006/metadata/properties" xmlns:ns2="159ae6a5-87ac-4fb4-a175-b6749de0604f" xmlns:ns3="75270a74-fde9-4e42-aab5-535b97027282" targetNamespace="http://schemas.microsoft.com/office/2006/metadata/properties" ma:root="true" ma:fieldsID="e245528daebae4dc76557ef1f1f11efe" ns2:_="" ns3:_="">
    <xsd:import namespace="159ae6a5-87ac-4fb4-a175-b6749de0604f"/>
    <xsd:import namespace="75270a74-fde9-4e42-aab5-535b97027282"/>
    <xsd:element name="properties">
      <xsd:complexType>
        <xsd:sequence>
          <xsd:element name="documentManagement">
            <xsd:complexType>
              <xsd:all>
                <xsd:element ref="ns2:Document_x0020_Status" minOccurs="0"/>
                <xsd:element ref="ns2:Current_x0020_Reviewer" minOccurs="0"/>
                <xsd:element ref="ns2:Approved_x0020_By" minOccurs="0"/>
                <xsd:element ref="ns2:User_x0020_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ae6a5-87ac-4fb4-a175-b6749de0604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8" nillable="true" ma:displayName="Document Status" ma:format="Dropdown" ma:internalName="Document_x0020_Status">
      <xsd:simpleType>
        <xsd:restriction base="dms:Choice">
          <xsd:enumeration value="In Progress"/>
          <xsd:enumeration value="In Review"/>
          <xsd:enumeration value="Edits Needed (see comments)"/>
          <xsd:enumeration value="Pending Approval"/>
          <xsd:enumeration value="Approved"/>
          <xsd:enumeration value="Approved with Edits"/>
        </xsd:restriction>
      </xsd:simpleType>
    </xsd:element>
    <xsd:element name="Current_x0020_Reviewer" ma:index="9" nillable="true" ma:displayName="Current Reviewer" ma:list="UserInfo" ma:SharePointGroup="0" ma:internalName="Current_x0020_Review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d_x0020_By" ma:index="10" nillable="true" ma:displayName="Approved By" ma:list="UserInfo" ma:SharePointGroup="0" ma:internalName="Approved_x0020_By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ser_x0020_Comments" ma:index="11" nillable="true" ma:displayName="User Comments" ma:internalName="User_x0020_Comments">
      <xsd:simpleType>
        <xsd:restriction base="dms:Note">
          <xsd:maxLength value="255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70a74-fde9-4e42-aab5-535b97027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8E2B49-C787-47CC-BA01-FB43465CB7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31433D-5D7F-4DF0-9A6E-3B59298EF400}">
  <ds:schemaRefs>
    <ds:schemaRef ds:uri="159ae6a5-87ac-4fb4-a175-b6749de0604f"/>
    <ds:schemaRef ds:uri="http://purl.org/dc/terms/"/>
    <ds:schemaRef ds:uri="http://schemas.openxmlformats.org/package/2006/metadata/core-properties"/>
    <ds:schemaRef ds:uri="75270a74-fde9-4e42-aab5-535b9702728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102770-6584-40D8-B1F4-17DDA41EC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9ae6a5-87ac-4fb4-a175-b6749de0604f"/>
    <ds:schemaRef ds:uri="75270a74-fde9-4e42-aab5-535b970272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Allocations</vt:lpstr>
      <vt:lpstr>Inputs and Calculation</vt:lpstr>
      <vt:lpstr>Data</vt:lpstr>
      <vt:lpstr>amtpop</vt:lpstr>
      <vt:lpstr>amtpov</vt:lpstr>
      <vt:lpstr>lhjbase</vt:lpstr>
      <vt:lpstr>percpop</vt:lpstr>
      <vt:lpstr>percpov</vt:lpstr>
      <vt:lpstr>perpop</vt:lpstr>
      <vt:lpstr>Allocations!Print_Area</vt:lpstr>
      <vt:lpstr>Allocations!Print_Titles</vt:lpstr>
    </vt:vector>
  </TitlesOfParts>
  <Manager/>
  <Company>California Department of Public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Frasure-Williams, Jessica@CDPH</dc:creator>
  <cp:keywords/>
  <dc:description/>
  <cp:lastModifiedBy>Angela Zambrano-Ford</cp:lastModifiedBy>
  <cp:revision/>
  <cp:lastPrinted>2022-07-20T18:56:27Z</cp:lastPrinted>
  <dcterms:created xsi:type="dcterms:W3CDTF">2020-07-13T18:02:56Z</dcterms:created>
  <dcterms:modified xsi:type="dcterms:W3CDTF">2022-07-20T18:56:42Z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0x0101003FEAD6E0B662E84AB1D524993CAAE21E</vt:lpwstr>
  </property>
</Properties>
</file>